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.xml" ContentType="application/vnd.openxmlformats-officedocument.drawing+xml"/>
  <Override PartName="/xl/comments16.xml" ContentType="application/vnd.openxmlformats-officedocument.spreadsheetml.comments+xml"/>
  <Override PartName="/xl/drawings/drawing2.xml" ContentType="application/vnd.openxmlformats-officedocument.drawing+xml"/>
  <Override PartName="/xl/comments17.xml" ContentType="application/vnd.openxmlformats-officedocument.spreadsheetml.comments+xml"/>
  <Override PartName="/xl/drawings/drawing3.xml" ContentType="application/vnd.openxmlformats-officedocument.drawing+xml"/>
  <Override PartName="/xl/comments18.xml" ContentType="application/vnd.openxmlformats-officedocument.spreadsheetml.comments+xml"/>
  <Override PartName="/xl/drawings/drawing4.xml" ContentType="application/vnd.openxmlformats-officedocument.drawing+xml"/>
  <Override PartName="/xl/comments19.xml" ContentType="application/vnd.openxmlformats-officedocument.spreadsheetml.comments+xml"/>
  <Override PartName="/xl/drawings/drawing5.xml" ContentType="application/vnd.openxmlformats-officedocument.drawing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onthly Reports\"/>
    </mc:Choice>
  </mc:AlternateContent>
  <xr:revisionPtr revIDLastSave="0" documentId="13_ncr:1_{F75887E9-C70E-4B73-A909-7FC59838758B}" xr6:coauthVersionLast="38" xr6:coauthVersionMax="38" xr10:uidLastSave="{00000000-0000-0000-0000-000000000000}"/>
  <bookViews>
    <workbookView xWindow="24660" yWindow="270" windowWidth="11115" windowHeight="6405" firstSheet="16" activeTab="21" xr2:uid="{00000000-000D-0000-FFFF-FFFF00000000}"/>
  </bookViews>
  <sheets>
    <sheet name="2011-12" sheetId="1" state="hidden" r:id="rId1"/>
    <sheet name="2014" sheetId="2" state="hidden" r:id="rId2"/>
    <sheet name="September 2015" sheetId="8" state="hidden" r:id="rId3"/>
    <sheet name="October 2017" sheetId="9" r:id="rId4"/>
    <sheet name="October with BFS" sheetId="24" r:id="rId5"/>
    <sheet name="November 2017" sheetId="10" r:id="rId6"/>
    <sheet name="November with BFS" sheetId="25" r:id="rId7"/>
    <sheet name="December 2017" sheetId="11" r:id="rId8"/>
    <sheet name="December with BFS" sheetId="26" r:id="rId9"/>
    <sheet name="January 2018" sheetId="12" r:id="rId10"/>
    <sheet name="January with BFS" sheetId="27" r:id="rId11"/>
    <sheet name="February 2018" sheetId="13" r:id="rId12"/>
    <sheet name="February with BFS" sheetId="28" r:id="rId13"/>
    <sheet name="March 2018" sheetId="14" r:id="rId14"/>
    <sheet name="March 2018 with BFS" sheetId="30" r:id="rId15"/>
    <sheet name="April 2018" sheetId="15" r:id="rId16"/>
    <sheet name="April 2018 BFS" sheetId="31" r:id="rId17"/>
    <sheet name="May 2018" sheetId="16" r:id="rId18"/>
    <sheet name="June 2018" sheetId="17" r:id="rId19"/>
    <sheet name="July 2018" sheetId="18" r:id="rId20"/>
    <sheet name="August 2018" sheetId="19" r:id="rId21"/>
    <sheet name="September 2018" sheetId="20" r:id="rId22"/>
    <sheet name="CPC Revenue" sheetId="23" r:id="rId23"/>
  </sheets>
  <definedNames>
    <definedName name="_xlnm.Print_Area" localSheetId="0">'2011-12'!$A$40:$I$72</definedName>
    <definedName name="_xlnm.Print_Area" localSheetId="20">'August 2018'!$A$1:$J$70</definedName>
    <definedName name="_xlnm.Print_Area" localSheetId="9">'January 2018'!$A$1:$J$78</definedName>
    <definedName name="_xlnm.Print_Area" localSheetId="19">'July 2018'!$A$1:$J$71</definedName>
    <definedName name="_xlnm.Print_Area" localSheetId="17">'May 2018'!$A$1:$J$70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6" i="20" l="1"/>
  <c r="E55" i="20"/>
  <c r="E54" i="20"/>
  <c r="E53" i="20"/>
  <c r="D68" i="20" l="1"/>
  <c r="C68" i="20"/>
  <c r="B68" i="20"/>
  <c r="J67" i="20"/>
  <c r="F67" i="20"/>
  <c r="H67" i="20" s="1"/>
  <c r="E67" i="20"/>
  <c r="F66" i="20"/>
  <c r="H66" i="20" s="1"/>
  <c r="E66" i="20"/>
  <c r="G66" i="20" s="1"/>
  <c r="J66" i="20" s="1"/>
  <c r="J65" i="20"/>
  <c r="F65" i="20"/>
  <c r="H65" i="20" s="1"/>
  <c r="E65" i="20"/>
  <c r="J64" i="20"/>
  <c r="F64" i="20"/>
  <c r="H64" i="20" s="1"/>
  <c r="E64" i="20"/>
  <c r="J63" i="20"/>
  <c r="F63" i="20"/>
  <c r="H63" i="20" s="1"/>
  <c r="E63" i="20"/>
  <c r="J62" i="20"/>
  <c r="F62" i="20"/>
  <c r="H62" i="20" s="1"/>
  <c r="E62" i="20"/>
  <c r="J61" i="20"/>
  <c r="F61" i="20"/>
  <c r="H61" i="20" s="1"/>
  <c r="E61" i="20"/>
  <c r="J60" i="20"/>
  <c r="F60" i="20"/>
  <c r="H60" i="20" s="1"/>
  <c r="E60" i="20"/>
  <c r="J59" i="20"/>
  <c r="F59" i="20"/>
  <c r="H59" i="20" s="1"/>
  <c r="E59" i="20"/>
  <c r="J58" i="20"/>
  <c r="F58" i="20"/>
  <c r="H58" i="20" s="1"/>
  <c r="E58" i="20"/>
  <c r="J57" i="20"/>
  <c r="F57" i="20"/>
  <c r="H57" i="20" s="1"/>
  <c r="E57" i="20"/>
  <c r="J56" i="20"/>
  <c r="F56" i="20"/>
  <c r="H56" i="20" s="1"/>
  <c r="J55" i="20"/>
  <c r="F55" i="20"/>
  <c r="H55" i="20" s="1"/>
  <c r="J54" i="20"/>
  <c r="F54" i="20"/>
  <c r="H54" i="20" s="1"/>
  <c r="J53" i="20"/>
  <c r="F53" i="20"/>
  <c r="H53" i="20" s="1"/>
  <c r="J52" i="20"/>
  <c r="F52" i="20"/>
  <c r="H52" i="20" s="1"/>
  <c r="E52" i="20"/>
  <c r="J51" i="20"/>
  <c r="F51" i="20"/>
  <c r="H51" i="20" s="1"/>
  <c r="E51" i="20"/>
  <c r="J50" i="20"/>
  <c r="F50" i="20"/>
  <c r="H50" i="20" s="1"/>
  <c r="E50" i="20"/>
  <c r="J49" i="20"/>
  <c r="F49" i="20"/>
  <c r="H49" i="20" s="1"/>
  <c r="E49" i="20"/>
  <c r="J48" i="20"/>
  <c r="F48" i="20"/>
  <c r="H48" i="20" s="1"/>
  <c r="E48" i="20"/>
  <c r="J47" i="20"/>
  <c r="F47" i="20"/>
  <c r="H47" i="20" s="1"/>
  <c r="E47" i="20"/>
  <c r="J46" i="20"/>
  <c r="F46" i="20"/>
  <c r="H46" i="20" s="1"/>
  <c r="E46" i="20"/>
  <c r="J45" i="20"/>
  <c r="F45" i="20"/>
  <c r="H45" i="20" s="1"/>
  <c r="E45" i="20"/>
  <c r="I44" i="20"/>
  <c r="J44" i="20" s="1"/>
  <c r="F44" i="20"/>
  <c r="H44" i="20" s="1"/>
  <c r="E44" i="20"/>
  <c r="I43" i="20"/>
  <c r="F43" i="20" s="1"/>
  <c r="H43" i="20" s="1"/>
  <c r="E43" i="20"/>
  <c r="J42" i="20"/>
  <c r="F42" i="20"/>
  <c r="H42" i="20" s="1"/>
  <c r="E42" i="20"/>
  <c r="J41" i="20"/>
  <c r="F41" i="20"/>
  <c r="H41" i="20" s="1"/>
  <c r="E41" i="20"/>
  <c r="J38" i="20"/>
  <c r="J36" i="20"/>
  <c r="F36" i="20"/>
  <c r="H36" i="20" s="1"/>
  <c r="E36" i="20"/>
  <c r="I35" i="20"/>
  <c r="G35" i="20"/>
  <c r="J35" i="20" s="1"/>
  <c r="F35" i="20"/>
  <c r="H35" i="20" s="1"/>
  <c r="E35" i="20"/>
  <c r="J34" i="20"/>
  <c r="F34" i="20"/>
  <c r="H34" i="20" s="1"/>
  <c r="E34" i="20"/>
  <c r="J33" i="20"/>
  <c r="F33" i="20"/>
  <c r="H33" i="20" s="1"/>
  <c r="E33" i="20"/>
  <c r="J32" i="20"/>
  <c r="F32" i="20"/>
  <c r="H32" i="20" s="1"/>
  <c r="E32" i="20"/>
  <c r="J31" i="20"/>
  <c r="F31" i="20"/>
  <c r="H31" i="20" s="1"/>
  <c r="E31" i="20"/>
  <c r="J30" i="20"/>
  <c r="F30" i="20"/>
  <c r="H30" i="20" s="1"/>
  <c r="E30" i="20"/>
  <c r="I29" i="20"/>
  <c r="F29" i="20" s="1"/>
  <c r="H29" i="20" s="1"/>
  <c r="E29" i="20"/>
  <c r="G29" i="20" s="1"/>
  <c r="J29" i="20" s="1"/>
  <c r="J28" i="20"/>
  <c r="F28" i="20"/>
  <c r="H28" i="20" s="1"/>
  <c r="E28" i="20"/>
  <c r="J27" i="20"/>
  <c r="F27" i="20"/>
  <c r="H27" i="20" s="1"/>
  <c r="E27" i="20"/>
  <c r="F26" i="20"/>
  <c r="H26" i="20" s="1"/>
  <c r="E26" i="20"/>
  <c r="G26" i="20" s="1"/>
  <c r="J25" i="20"/>
  <c r="F25" i="20"/>
  <c r="H25" i="20" s="1"/>
  <c r="E25" i="20"/>
  <c r="J24" i="20"/>
  <c r="F24" i="20"/>
  <c r="E24" i="20"/>
  <c r="J21" i="20"/>
  <c r="I19" i="20"/>
  <c r="G19" i="20"/>
  <c r="D19" i="20"/>
  <c r="C19" i="20"/>
  <c r="B19" i="20"/>
  <c r="J18" i="20"/>
  <c r="F18" i="20"/>
  <c r="H18" i="20" s="1"/>
  <c r="E18" i="20"/>
  <c r="J17" i="20"/>
  <c r="F17" i="20"/>
  <c r="H17" i="20" s="1"/>
  <c r="E17" i="20"/>
  <c r="J16" i="20"/>
  <c r="F16" i="20"/>
  <c r="H16" i="20" s="1"/>
  <c r="E16" i="20"/>
  <c r="J15" i="20"/>
  <c r="F15" i="20"/>
  <c r="H15" i="20" s="1"/>
  <c r="E15" i="20"/>
  <c r="J14" i="20"/>
  <c r="F14" i="20"/>
  <c r="H14" i="20" s="1"/>
  <c r="E14" i="20"/>
  <c r="J13" i="20"/>
  <c r="F13" i="20"/>
  <c r="H13" i="20" s="1"/>
  <c r="E13" i="20"/>
  <c r="J12" i="20"/>
  <c r="F12" i="20"/>
  <c r="H12" i="20" s="1"/>
  <c r="E12" i="20"/>
  <c r="J11" i="20"/>
  <c r="F11" i="20"/>
  <c r="H11" i="20" s="1"/>
  <c r="E11" i="20"/>
  <c r="J10" i="20"/>
  <c r="F10" i="20"/>
  <c r="H10" i="20" s="1"/>
  <c r="E10" i="20"/>
  <c r="J9" i="20"/>
  <c r="F9" i="20"/>
  <c r="H9" i="20" s="1"/>
  <c r="E9" i="20"/>
  <c r="J8" i="20"/>
  <c r="F8" i="20"/>
  <c r="H8" i="20" s="1"/>
  <c r="E8" i="20"/>
  <c r="J7" i="20"/>
  <c r="F7" i="20"/>
  <c r="E7" i="20"/>
  <c r="H24" i="20" l="1"/>
  <c r="H68" i="20" s="1"/>
  <c r="F19" i="20"/>
  <c r="H7" i="20"/>
  <c r="H19" i="20" s="1"/>
  <c r="I68" i="20"/>
  <c r="D70" i="20"/>
  <c r="C70" i="20"/>
  <c r="E19" i="20"/>
  <c r="B70" i="20"/>
  <c r="E68" i="20"/>
  <c r="E70" i="20" s="1"/>
  <c r="J26" i="20"/>
  <c r="G68" i="20"/>
  <c r="F68" i="20"/>
  <c r="F70" i="20" s="1"/>
  <c r="J19" i="20"/>
  <c r="J43" i="20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I68" i="19"/>
  <c r="D68" i="19"/>
  <c r="C68" i="19"/>
  <c r="B68" i="19"/>
  <c r="J67" i="19"/>
  <c r="F67" i="19"/>
  <c r="E67" i="19"/>
  <c r="F66" i="19"/>
  <c r="E66" i="19"/>
  <c r="G66" i="19" s="1"/>
  <c r="J66" i="19" s="1"/>
  <c r="J65" i="19"/>
  <c r="F65" i="19"/>
  <c r="E65" i="19"/>
  <c r="J64" i="19"/>
  <c r="F64" i="19"/>
  <c r="E64" i="19"/>
  <c r="J63" i="19"/>
  <c r="F63" i="19"/>
  <c r="E63" i="19"/>
  <c r="J62" i="19"/>
  <c r="F62" i="19"/>
  <c r="E62" i="19"/>
  <c r="J61" i="19"/>
  <c r="F61" i="19"/>
  <c r="E61" i="19"/>
  <c r="J60" i="19"/>
  <c r="F60" i="19"/>
  <c r="E60" i="19"/>
  <c r="J59" i="19"/>
  <c r="F59" i="19"/>
  <c r="E59" i="19"/>
  <c r="J58" i="19"/>
  <c r="F58" i="19"/>
  <c r="E58" i="19"/>
  <c r="J57" i="19"/>
  <c r="F57" i="19"/>
  <c r="E57" i="19"/>
  <c r="J56" i="19"/>
  <c r="F56" i="19"/>
  <c r="E56" i="19"/>
  <c r="J55" i="19"/>
  <c r="F55" i="19"/>
  <c r="E55" i="19"/>
  <c r="J54" i="19"/>
  <c r="F54" i="19"/>
  <c r="E54" i="19"/>
  <c r="J53" i="19"/>
  <c r="F53" i="19"/>
  <c r="E53" i="19"/>
  <c r="J52" i="19"/>
  <c r="F52" i="19"/>
  <c r="E52" i="19"/>
  <c r="J51" i="19"/>
  <c r="F51" i="19"/>
  <c r="E51" i="19"/>
  <c r="J50" i="19"/>
  <c r="F50" i="19"/>
  <c r="E50" i="19"/>
  <c r="J49" i="19"/>
  <c r="F49" i="19"/>
  <c r="E49" i="19"/>
  <c r="J48" i="19"/>
  <c r="F48" i="19"/>
  <c r="E48" i="19"/>
  <c r="J47" i="19"/>
  <c r="F47" i="19"/>
  <c r="E47" i="19"/>
  <c r="J46" i="19"/>
  <c r="F46" i="19"/>
  <c r="E46" i="19"/>
  <c r="J45" i="19"/>
  <c r="F45" i="19"/>
  <c r="E45" i="19"/>
  <c r="J44" i="19"/>
  <c r="I44" i="19"/>
  <c r="F44" i="19"/>
  <c r="E44" i="19"/>
  <c r="I43" i="19"/>
  <c r="F43" i="19" s="1"/>
  <c r="E43" i="19"/>
  <c r="J42" i="19"/>
  <c r="F42" i="19"/>
  <c r="E42" i="19"/>
  <c r="J41" i="19"/>
  <c r="F41" i="19"/>
  <c r="E41" i="19"/>
  <c r="J38" i="19"/>
  <c r="J36" i="19"/>
  <c r="F36" i="19"/>
  <c r="E36" i="19"/>
  <c r="J35" i="19"/>
  <c r="I35" i="19"/>
  <c r="G35" i="19"/>
  <c r="F35" i="19"/>
  <c r="E35" i="19"/>
  <c r="J34" i="19"/>
  <c r="F34" i="19"/>
  <c r="E34" i="19"/>
  <c r="J33" i="19"/>
  <c r="F33" i="19"/>
  <c r="E33" i="19"/>
  <c r="J32" i="19"/>
  <c r="F32" i="19"/>
  <c r="E32" i="19"/>
  <c r="J31" i="19"/>
  <c r="F31" i="19"/>
  <c r="E31" i="19"/>
  <c r="J30" i="19"/>
  <c r="F30" i="19"/>
  <c r="E30" i="19"/>
  <c r="I29" i="19"/>
  <c r="F29" i="19" s="1"/>
  <c r="E29" i="19"/>
  <c r="G29" i="19" s="1"/>
  <c r="J29" i="19" s="1"/>
  <c r="J28" i="19"/>
  <c r="F28" i="19"/>
  <c r="E28" i="19"/>
  <c r="J27" i="19"/>
  <c r="F27" i="19"/>
  <c r="E27" i="19"/>
  <c r="F26" i="19"/>
  <c r="E26" i="19"/>
  <c r="G26" i="19" s="1"/>
  <c r="J25" i="19"/>
  <c r="F25" i="19"/>
  <c r="E25" i="19"/>
  <c r="J24" i="19"/>
  <c r="F24" i="19"/>
  <c r="F68" i="19" s="1"/>
  <c r="E24" i="19"/>
  <c r="J21" i="19"/>
  <c r="I19" i="19"/>
  <c r="G19" i="19"/>
  <c r="J19" i="19" s="1"/>
  <c r="F19" i="19"/>
  <c r="D19" i="19"/>
  <c r="C19" i="19"/>
  <c r="B19" i="19"/>
  <c r="J18" i="19"/>
  <c r="F18" i="19"/>
  <c r="E18" i="19"/>
  <c r="J17" i="19"/>
  <c r="F17" i="19"/>
  <c r="E17" i="19"/>
  <c r="J16" i="19"/>
  <c r="F16" i="19"/>
  <c r="E16" i="19"/>
  <c r="J15" i="19"/>
  <c r="F15" i="19"/>
  <c r="E15" i="19"/>
  <c r="J14" i="19"/>
  <c r="F14" i="19"/>
  <c r="E14" i="19"/>
  <c r="J13" i="19"/>
  <c r="F13" i="19"/>
  <c r="E13" i="19"/>
  <c r="J12" i="19"/>
  <c r="F12" i="19"/>
  <c r="E12" i="19"/>
  <c r="J11" i="19"/>
  <c r="F11" i="19"/>
  <c r="E11" i="19"/>
  <c r="J10" i="19"/>
  <c r="F10" i="19"/>
  <c r="E10" i="19"/>
  <c r="J9" i="19"/>
  <c r="F9" i="19"/>
  <c r="E9" i="19"/>
  <c r="J8" i="19"/>
  <c r="F8" i="19"/>
  <c r="E8" i="19"/>
  <c r="J7" i="19"/>
  <c r="F7" i="19"/>
  <c r="E7" i="19"/>
  <c r="J68" i="20" l="1"/>
  <c r="G70" i="20"/>
  <c r="H19" i="19"/>
  <c r="D70" i="19"/>
  <c r="C70" i="19"/>
  <c r="E19" i="19"/>
  <c r="E68" i="19"/>
  <c r="B70" i="19"/>
  <c r="J26" i="19"/>
  <c r="G68" i="19"/>
  <c r="J68" i="19" s="1"/>
  <c r="F70" i="19"/>
  <c r="H68" i="19"/>
  <c r="J43" i="19"/>
  <c r="H64" i="18"/>
  <c r="H60" i="18"/>
  <c r="H56" i="18"/>
  <c r="H52" i="18"/>
  <c r="H48" i="18"/>
  <c r="H44" i="18"/>
  <c r="H33" i="18"/>
  <c r="H24" i="18"/>
  <c r="H16" i="18"/>
  <c r="H15" i="18"/>
  <c r="H12" i="18"/>
  <c r="H11" i="18"/>
  <c r="H8" i="18"/>
  <c r="H7" i="18"/>
  <c r="D68" i="18"/>
  <c r="C68" i="18"/>
  <c r="B68" i="18"/>
  <c r="J67" i="18"/>
  <c r="F67" i="18"/>
  <c r="H67" i="18" s="1"/>
  <c r="E67" i="18"/>
  <c r="F66" i="18"/>
  <c r="H66" i="18" s="1"/>
  <c r="E66" i="18"/>
  <c r="G66" i="18" s="1"/>
  <c r="J66" i="18" s="1"/>
  <c r="J65" i="18"/>
  <c r="F65" i="18"/>
  <c r="H65" i="18" s="1"/>
  <c r="E65" i="18"/>
  <c r="J64" i="18"/>
  <c r="F64" i="18"/>
  <c r="E64" i="18"/>
  <c r="J63" i="18"/>
  <c r="F63" i="18"/>
  <c r="H63" i="18" s="1"/>
  <c r="E63" i="18"/>
  <c r="J62" i="18"/>
  <c r="F62" i="18"/>
  <c r="H62" i="18" s="1"/>
  <c r="E62" i="18"/>
  <c r="J61" i="18"/>
  <c r="F61" i="18"/>
  <c r="H61" i="18" s="1"/>
  <c r="E61" i="18"/>
  <c r="J60" i="18"/>
  <c r="F60" i="18"/>
  <c r="E60" i="18"/>
  <c r="J59" i="18"/>
  <c r="F59" i="18"/>
  <c r="H59" i="18" s="1"/>
  <c r="E59" i="18"/>
  <c r="J58" i="18"/>
  <c r="F58" i="18"/>
  <c r="H58" i="18" s="1"/>
  <c r="E58" i="18"/>
  <c r="J57" i="18"/>
  <c r="F57" i="18"/>
  <c r="H57" i="18" s="1"/>
  <c r="E57" i="18"/>
  <c r="J56" i="18"/>
  <c r="F56" i="18"/>
  <c r="E56" i="18"/>
  <c r="J55" i="18"/>
  <c r="F55" i="18"/>
  <c r="H55" i="18" s="1"/>
  <c r="E55" i="18"/>
  <c r="J54" i="18"/>
  <c r="F54" i="18"/>
  <c r="H54" i="18" s="1"/>
  <c r="E54" i="18"/>
  <c r="J53" i="18"/>
  <c r="F53" i="18"/>
  <c r="H53" i="18" s="1"/>
  <c r="E53" i="18"/>
  <c r="J52" i="18"/>
  <c r="F52" i="18"/>
  <c r="E52" i="18"/>
  <c r="J51" i="18"/>
  <c r="F51" i="18"/>
  <c r="H51" i="18" s="1"/>
  <c r="E51" i="18"/>
  <c r="J50" i="18"/>
  <c r="F50" i="18"/>
  <c r="H50" i="18" s="1"/>
  <c r="E50" i="18"/>
  <c r="J49" i="18"/>
  <c r="F49" i="18"/>
  <c r="H49" i="18" s="1"/>
  <c r="E49" i="18"/>
  <c r="J48" i="18"/>
  <c r="F48" i="18"/>
  <c r="E48" i="18"/>
  <c r="J47" i="18"/>
  <c r="F47" i="18"/>
  <c r="H47" i="18" s="1"/>
  <c r="E47" i="18"/>
  <c r="J46" i="18"/>
  <c r="F46" i="18"/>
  <c r="H46" i="18" s="1"/>
  <c r="E46" i="18"/>
  <c r="J45" i="18"/>
  <c r="F45" i="18"/>
  <c r="H45" i="18" s="1"/>
  <c r="E45" i="18"/>
  <c r="J44" i="18"/>
  <c r="I44" i="18"/>
  <c r="F44" i="18"/>
  <c r="E44" i="18"/>
  <c r="I43" i="18"/>
  <c r="J43" i="18" s="1"/>
  <c r="E43" i="18"/>
  <c r="J42" i="18"/>
  <c r="F42" i="18"/>
  <c r="H42" i="18" s="1"/>
  <c r="E42" i="18"/>
  <c r="J41" i="18"/>
  <c r="F41" i="18"/>
  <c r="H41" i="18" s="1"/>
  <c r="E41" i="18"/>
  <c r="J38" i="18"/>
  <c r="J36" i="18"/>
  <c r="F36" i="18"/>
  <c r="H36" i="18" s="1"/>
  <c r="E36" i="18"/>
  <c r="I35" i="18"/>
  <c r="F35" i="18"/>
  <c r="H35" i="18" s="1"/>
  <c r="E35" i="18"/>
  <c r="G35" i="18" s="1"/>
  <c r="J35" i="18" s="1"/>
  <c r="J34" i="18"/>
  <c r="F34" i="18"/>
  <c r="H34" i="18" s="1"/>
  <c r="E34" i="18"/>
  <c r="J33" i="18"/>
  <c r="F33" i="18"/>
  <c r="E33" i="18"/>
  <c r="J32" i="18"/>
  <c r="F32" i="18"/>
  <c r="H32" i="18" s="1"/>
  <c r="E32" i="18"/>
  <c r="J31" i="18"/>
  <c r="F31" i="18"/>
  <c r="H31" i="18" s="1"/>
  <c r="E31" i="18"/>
  <c r="J30" i="18"/>
  <c r="F30" i="18"/>
  <c r="H30" i="18" s="1"/>
  <c r="E30" i="18"/>
  <c r="I29" i="18"/>
  <c r="F29" i="18" s="1"/>
  <c r="H29" i="18" s="1"/>
  <c r="G29" i="18"/>
  <c r="E29" i="18"/>
  <c r="J28" i="18"/>
  <c r="F28" i="18"/>
  <c r="H28" i="18" s="1"/>
  <c r="E28" i="18"/>
  <c r="J27" i="18"/>
  <c r="F27" i="18"/>
  <c r="H27" i="18" s="1"/>
  <c r="E27" i="18"/>
  <c r="F26" i="18"/>
  <c r="H26" i="18" s="1"/>
  <c r="E26" i="18"/>
  <c r="G26" i="18" s="1"/>
  <c r="J25" i="18"/>
  <c r="F25" i="18"/>
  <c r="H25" i="18" s="1"/>
  <c r="E25" i="18"/>
  <c r="J24" i="18"/>
  <c r="F24" i="18"/>
  <c r="E24" i="18"/>
  <c r="J21" i="18"/>
  <c r="I19" i="18"/>
  <c r="G19" i="18"/>
  <c r="D19" i="18"/>
  <c r="C19" i="18"/>
  <c r="B19" i="18"/>
  <c r="J18" i="18"/>
  <c r="F18" i="18"/>
  <c r="H18" i="18" s="1"/>
  <c r="E18" i="18"/>
  <c r="J17" i="18"/>
  <c r="F17" i="18"/>
  <c r="H17" i="18" s="1"/>
  <c r="E17" i="18"/>
  <c r="J16" i="18"/>
  <c r="F16" i="18"/>
  <c r="E16" i="18"/>
  <c r="J15" i="18"/>
  <c r="F15" i="18"/>
  <c r="E15" i="18"/>
  <c r="J14" i="18"/>
  <c r="F14" i="18"/>
  <c r="H14" i="18" s="1"/>
  <c r="E14" i="18"/>
  <c r="J13" i="18"/>
  <c r="F13" i="18"/>
  <c r="H13" i="18" s="1"/>
  <c r="E13" i="18"/>
  <c r="J12" i="18"/>
  <c r="F12" i="18"/>
  <c r="E12" i="18"/>
  <c r="J11" i="18"/>
  <c r="F11" i="18"/>
  <c r="E11" i="18"/>
  <c r="J10" i="18"/>
  <c r="F10" i="18"/>
  <c r="H10" i="18" s="1"/>
  <c r="E10" i="18"/>
  <c r="J9" i="18"/>
  <c r="F9" i="18"/>
  <c r="H9" i="18" s="1"/>
  <c r="E9" i="18"/>
  <c r="J8" i="18"/>
  <c r="F8" i="18"/>
  <c r="E8" i="18"/>
  <c r="J7" i="18"/>
  <c r="F7" i="18"/>
  <c r="E7" i="18"/>
  <c r="G70" i="19" l="1"/>
  <c r="E70" i="19"/>
  <c r="H19" i="18"/>
  <c r="F19" i="18"/>
  <c r="F43" i="18"/>
  <c r="H43" i="18" s="1"/>
  <c r="J29" i="18"/>
  <c r="I68" i="18"/>
  <c r="D70" i="18"/>
  <c r="C70" i="18"/>
  <c r="E19" i="18"/>
  <c r="E68" i="18"/>
  <c r="B70" i="18"/>
  <c r="H68" i="18"/>
  <c r="J26" i="18"/>
  <c r="G68" i="18"/>
  <c r="J68" i="18" s="1"/>
  <c r="J19" i="18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36" i="17"/>
  <c r="E35" i="17"/>
  <c r="G35" i="17" s="1"/>
  <c r="J35" i="17" s="1"/>
  <c r="E34" i="17"/>
  <c r="E33" i="17"/>
  <c r="E32" i="17"/>
  <c r="E31" i="17"/>
  <c r="E30" i="17"/>
  <c r="E29" i="17"/>
  <c r="G29" i="17" s="1"/>
  <c r="E28" i="17"/>
  <c r="E27" i="17"/>
  <c r="E26" i="17"/>
  <c r="G26" i="17" s="1"/>
  <c r="J26" i="17" s="1"/>
  <c r="E25" i="17"/>
  <c r="E24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D68" i="17"/>
  <c r="C68" i="17"/>
  <c r="B68" i="17"/>
  <c r="F67" i="17"/>
  <c r="H67" i="17" s="1"/>
  <c r="J67" i="17"/>
  <c r="G66" i="17"/>
  <c r="J66" i="17" s="1"/>
  <c r="F66" i="17"/>
  <c r="H66" i="17" s="1"/>
  <c r="J65" i="17"/>
  <c r="F65" i="17"/>
  <c r="H65" i="17" s="1"/>
  <c r="J64" i="17"/>
  <c r="F64" i="17"/>
  <c r="H64" i="17" s="1"/>
  <c r="J63" i="17"/>
  <c r="F63" i="17"/>
  <c r="H63" i="17" s="1"/>
  <c r="J62" i="17"/>
  <c r="F62" i="17"/>
  <c r="H62" i="17" s="1"/>
  <c r="J61" i="17"/>
  <c r="F61" i="17"/>
  <c r="H61" i="17" s="1"/>
  <c r="J60" i="17"/>
  <c r="F60" i="17"/>
  <c r="H60" i="17" s="1"/>
  <c r="J59" i="17"/>
  <c r="F59" i="17"/>
  <c r="H59" i="17" s="1"/>
  <c r="J58" i="17"/>
  <c r="F58" i="17"/>
  <c r="H58" i="17" s="1"/>
  <c r="J57" i="17"/>
  <c r="F57" i="17"/>
  <c r="H57" i="17" s="1"/>
  <c r="J56" i="17"/>
  <c r="F56" i="17"/>
  <c r="H56" i="17" s="1"/>
  <c r="J55" i="17"/>
  <c r="F55" i="17"/>
  <c r="H55" i="17" s="1"/>
  <c r="J54" i="17"/>
  <c r="F54" i="17"/>
  <c r="H54" i="17" s="1"/>
  <c r="J53" i="17"/>
  <c r="F53" i="17"/>
  <c r="H53" i="17" s="1"/>
  <c r="J52" i="17"/>
  <c r="F52" i="17"/>
  <c r="H52" i="17" s="1"/>
  <c r="J51" i="17"/>
  <c r="F51" i="17"/>
  <c r="H51" i="17" s="1"/>
  <c r="J50" i="17"/>
  <c r="F50" i="17"/>
  <c r="H50" i="17" s="1"/>
  <c r="J49" i="17"/>
  <c r="F49" i="17"/>
  <c r="H49" i="17" s="1"/>
  <c r="J48" i="17"/>
  <c r="F48" i="17"/>
  <c r="H48" i="17" s="1"/>
  <c r="J47" i="17"/>
  <c r="F47" i="17"/>
  <c r="H47" i="17" s="1"/>
  <c r="J46" i="17"/>
  <c r="F46" i="17"/>
  <c r="H46" i="17" s="1"/>
  <c r="J45" i="17"/>
  <c r="F45" i="17"/>
  <c r="H45" i="17" s="1"/>
  <c r="I44" i="17"/>
  <c r="F44" i="17" s="1"/>
  <c r="H44" i="17" s="1"/>
  <c r="I43" i="17"/>
  <c r="F43" i="17" s="1"/>
  <c r="H43" i="17" s="1"/>
  <c r="J42" i="17"/>
  <c r="F42" i="17"/>
  <c r="H42" i="17" s="1"/>
  <c r="J41" i="17"/>
  <c r="F41" i="17"/>
  <c r="H41" i="17" s="1"/>
  <c r="J38" i="17"/>
  <c r="J36" i="17"/>
  <c r="F36" i="17"/>
  <c r="H36" i="17" s="1"/>
  <c r="I35" i="17"/>
  <c r="F35" i="17" s="1"/>
  <c r="H35" i="17" s="1"/>
  <c r="J34" i="17"/>
  <c r="F34" i="17"/>
  <c r="H34" i="17" s="1"/>
  <c r="J33" i="17"/>
  <c r="F33" i="17"/>
  <c r="H33" i="17" s="1"/>
  <c r="J32" i="17"/>
  <c r="F32" i="17"/>
  <c r="H32" i="17" s="1"/>
  <c r="J31" i="17"/>
  <c r="F31" i="17"/>
  <c r="H31" i="17" s="1"/>
  <c r="J30" i="17"/>
  <c r="F30" i="17"/>
  <c r="H30" i="17" s="1"/>
  <c r="I29" i="17"/>
  <c r="F29" i="17" s="1"/>
  <c r="H29" i="17" s="1"/>
  <c r="J28" i="17"/>
  <c r="F28" i="17"/>
  <c r="H28" i="17" s="1"/>
  <c r="J27" i="17"/>
  <c r="F27" i="17"/>
  <c r="H27" i="17" s="1"/>
  <c r="F26" i="17"/>
  <c r="H26" i="17" s="1"/>
  <c r="J25" i="17"/>
  <c r="F25" i="17"/>
  <c r="H25" i="17" s="1"/>
  <c r="J24" i="17"/>
  <c r="F24" i="17"/>
  <c r="J21" i="17"/>
  <c r="I19" i="17"/>
  <c r="D19" i="17"/>
  <c r="C19" i="17"/>
  <c r="B19" i="17"/>
  <c r="J18" i="17"/>
  <c r="F18" i="17"/>
  <c r="H18" i="17" s="1"/>
  <c r="J17" i="17"/>
  <c r="F17" i="17"/>
  <c r="H17" i="17" s="1"/>
  <c r="J16" i="17"/>
  <c r="F16" i="17"/>
  <c r="H16" i="17" s="1"/>
  <c r="J15" i="17"/>
  <c r="F15" i="17"/>
  <c r="H15" i="17" s="1"/>
  <c r="J14" i="17"/>
  <c r="F14" i="17"/>
  <c r="H14" i="17" s="1"/>
  <c r="J13" i="17"/>
  <c r="F13" i="17"/>
  <c r="H13" i="17" s="1"/>
  <c r="J12" i="17"/>
  <c r="F12" i="17"/>
  <c r="H12" i="17" s="1"/>
  <c r="J11" i="17"/>
  <c r="F11" i="17"/>
  <c r="H11" i="17" s="1"/>
  <c r="J10" i="17"/>
  <c r="F10" i="17"/>
  <c r="H10" i="17" s="1"/>
  <c r="F9" i="17"/>
  <c r="H9" i="17" s="1"/>
  <c r="J8" i="17"/>
  <c r="F8" i="17"/>
  <c r="H8" i="17" s="1"/>
  <c r="J7" i="17"/>
  <c r="F7" i="17"/>
  <c r="H7" i="17" s="1"/>
  <c r="J29" i="17" l="1"/>
  <c r="F68" i="18"/>
  <c r="F70" i="18" s="1"/>
  <c r="E70" i="18"/>
  <c r="G70" i="18"/>
  <c r="H19" i="17"/>
  <c r="D70" i="17"/>
  <c r="C70" i="17"/>
  <c r="B70" i="17"/>
  <c r="E68" i="17"/>
  <c r="G19" i="17"/>
  <c r="J9" i="17"/>
  <c r="F68" i="17"/>
  <c r="E19" i="17"/>
  <c r="I68" i="17"/>
  <c r="F19" i="17"/>
  <c r="H24" i="17"/>
  <c r="H68" i="17" s="1"/>
  <c r="J43" i="17"/>
  <c r="J44" i="17"/>
  <c r="G68" i="17"/>
  <c r="J68" i="17" s="1"/>
  <c r="E10" i="16"/>
  <c r="E11" i="16"/>
  <c r="E70" i="17" l="1"/>
  <c r="F70" i="17"/>
  <c r="G70" i="17"/>
  <c r="J19" i="17"/>
  <c r="D68" i="16"/>
  <c r="C68" i="16"/>
  <c r="B68" i="16"/>
  <c r="F67" i="16"/>
  <c r="H67" i="16" s="1"/>
  <c r="E67" i="16"/>
  <c r="G67" i="16" s="1"/>
  <c r="J67" i="16" s="1"/>
  <c r="F66" i="16"/>
  <c r="H66" i="16" s="1"/>
  <c r="E66" i="16"/>
  <c r="G66" i="16" s="1"/>
  <c r="J66" i="16" s="1"/>
  <c r="J65" i="16"/>
  <c r="F65" i="16"/>
  <c r="H65" i="16" s="1"/>
  <c r="E65" i="16"/>
  <c r="J64" i="16"/>
  <c r="F64" i="16"/>
  <c r="H64" i="16" s="1"/>
  <c r="E64" i="16"/>
  <c r="J63" i="16"/>
  <c r="F63" i="16"/>
  <c r="H63" i="16" s="1"/>
  <c r="E63" i="16"/>
  <c r="J62" i="16"/>
  <c r="F62" i="16"/>
  <c r="H62" i="16" s="1"/>
  <c r="E62" i="16"/>
  <c r="J61" i="16"/>
  <c r="F61" i="16"/>
  <c r="H61" i="16" s="1"/>
  <c r="E61" i="16"/>
  <c r="J60" i="16"/>
  <c r="F60" i="16"/>
  <c r="H60" i="16" s="1"/>
  <c r="E60" i="16"/>
  <c r="J59" i="16"/>
  <c r="F59" i="16"/>
  <c r="H59" i="16" s="1"/>
  <c r="E59" i="16"/>
  <c r="J58" i="16"/>
  <c r="F58" i="16"/>
  <c r="H58" i="16" s="1"/>
  <c r="E58" i="16"/>
  <c r="J57" i="16"/>
  <c r="F57" i="16"/>
  <c r="H57" i="16" s="1"/>
  <c r="E57" i="16"/>
  <c r="J56" i="16"/>
  <c r="F56" i="16"/>
  <c r="H56" i="16" s="1"/>
  <c r="E56" i="16"/>
  <c r="J55" i="16"/>
  <c r="F55" i="16"/>
  <c r="H55" i="16" s="1"/>
  <c r="E55" i="16"/>
  <c r="J54" i="16"/>
  <c r="F54" i="16"/>
  <c r="H54" i="16" s="1"/>
  <c r="E54" i="16"/>
  <c r="J53" i="16"/>
  <c r="F53" i="16"/>
  <c r="H53" i="16" s="1"/>
  <c r="E53" i="16"/>
  <c r="J52" i="16"/>
  <c r="F52" i="16"/>
  <c r="H52" i="16" s="1"/>
  <c r="E52" i="16"/>
  <c r="J51" i="16"/>
  <c r="F51" i="16"/>
  <c r="H51" i="16" s="1"/>
  <c r="E51" i="16"/>
  <c r="J50" i="16"/>
  <c r="F50" i="16"/>
  <c r="H50" i="16" s="1"/>
  <c r="E50" i="16"/>
  <c r="J49" i="16"/>
  <c r="F49" i="16"/>
  <c r="H49" i="16" s="1"/>
  <c r="E49" i="16"/>
  <c r="J48" i="16"/>
  <c r="F48" i="16"/>
  <c r="H48" i="16" s="1"/>
  <c r="E48" i="16"/>
  <c r="J47" i="16"/>
  <c r="F47" i="16"/>
  <c r="H47" i="16" s="1"/>
  <c r="E47" i="16"/>
  <c r="J46" i="16"/>
  <c r="F46" i="16"/>
  <c r="H46" i="16" s="1"/>
  <c r="E46" i="16"/>
  <c r="J45" i="16"/>
  <c r="F45" i="16"/>
  <c r="H45" i="16" s="1"/>
  <c r="E45" i="16"/>
  <c r="I44" i="16"/>
  <c r="F44" i="16" s="1"/>
  <c r="H44" i="16" s="1"/>
  <c r="E44" i="16"/>
  <c r="I43" i="16"/>
  <c r="J43" i="16" s="1"/>
  <c r="E43" i="16"/>
  <c r="J42" i="16"/>
  <c r="F42" i="16"/>
  <c r="H42" i="16" s="1"/>
  <c r="E42" i="16"/>
  <c r="J41" i="16"/>
  <c r="F41" i="16"/>
  <c r="H41" i="16" s="1"/>
  <c r="E41" i="16"/>
  <c r="J38" i="16"/>
  <c r="J36" i="16"/>
  <c r="F36" i="16"/>
  <c r="H36" i="16" s="1"/>
  <c r="E36" i="16"/>
  <c r="I35" i="16"/>
  <c r="F35" i="16" s="1"/>
  <c r="H35" i="16" s="1"/>
  <c r="E35" i="16"/>
  <c r="G35" i="16" s="1"/>
  <c r="J34" i="16"/>
  <c r="F34" i="16"/>
  <c r="H34" i="16" s="1"/>
  <c r="E34" i="16"/>
  <c r="J33" i="16"/>
  <c r="F33" i="16"/>
  <c r="H33" i="16" s="1"/>
  <c r="E33" i="16"/>
  <c r="J32" i="16"/>
  <c r="F32" i="16"/>
  <c r="H32" i="16" s="1"/>
  <c r="E32" i="16"/>
  <c r="J31" i="16"/>
  <c r="F31" i="16"/>
  <c r="H31" i="16" s="1"/>
  <c r="E31" i="16"/>
  <c r="J30" i="16"/>
  <c r="F30" i="16"/>
  <c r="H30" i="16" s="1"/>
  <c r="E30" i="16"/>
  <c r="I29" i="16"/>
  <c r="F29" i="16" s="1"/>
  <c r="H29" i="16" s="1"/>
  <c r="E29" i="16"/>
  <c r="G29" i="16" s="1"/>
  <c r="J29" i="16" s="1"/>
  <c r="J28" i="16"/>
  <c r="F28" i="16"/>
  <c r="H28" i="16" s="1"/>
  <c r="E28" i="16"/>
  <c r="J27" i="16"/>
  <c r="F27" i="16"/>
  <c r="H27" i="16" s="1"/>
  <c r="E27" i="16"/>
  <c r="F26" i="16"/>
  <c r="H26" i="16" s="1"/>
  <c r="E26" i="16"/>
  <c r="G26" i="16" s="1"/>
  <c r="J25" i="16"/>
  <c r="F25" i="16"/>
  <c r="H25" i="16" s="1"/>
  <c r="E25" i="16"/>
  <c r="J24" i="16"/>
  <c r="F24" i="16"/>
  <c r="E24" i="16"/>
  <c r="J21" i="16"/>
  <c r="I19" i="16"/>
  <c r="D19" i="16"/>
  <c r="C19" i="16"/>
  <c r="B19" i="16"/>
  <c r="J18" i="16"/>
  <c r="F18" i="16"/>
  <c r="H18" i="16" s="1"/>
  <c r="E18" i="16"/>
  <c r="J17" i="16"/>
  <c r="F17" i="16"/>
  <c r="H17" i="16" s="1"/>
  <c r="E17" i="16"/>
  <c r="J16" i="16"/>
  <c r="F16" i="16"/>
  <c r="H16" i="16" s="1"/>
  <c r="E16" i="16"/>
  <c r="J15" i="16"/>
  <c r="F15" i="16"/>
  <c r="H15" i="16" s="1"/>
  <c r="E15" i="16"/>
  <c r="J14" i="16"/>
  <c r="F14" i="16"/>
  <c r="H14" i="16" s="1"/>
  <c r="E14" i="16"/>
  <c r="J13" i="16"/>
  <c r="F13" i="16"/>
  <c r="H13" i="16" s="1"/>
  <c r="E13" i="16"/>
  <c r="J12" i="16"/>
  <c r="F12" i="16"/>
  <c r="H12" i="16" s="1"/>
  <c r="E12" i="16"/>
  <c r="J11" i="16"/>
  <c r="F11" i="16"/>
  <c r="H11" i="16" s="1"/>
  <c r="J10" i="16"/>
  <c r="F10" i="16"/>
  <c r="H10" i="16" s="1"/>
  <c r="F9" i="16"/>
  <c r="H9" i="16" s="1"/>
  <c r="E9" i="16"/>
  <c r="G9" i="16" s="1"/>
  <c r="G19" i="16" s="1"/>
  <c r="J8" i="16"/>
  <c r="F8" i="16"/>
  <c r="H8" i="16" s="1"/>
  <c r="J7" i="16"/>
  <c r="F7" i="16"/>
  <c r="H7" i="16" s="1"/>
  <c r="J35" i="16" l="1"/>
  <c r="F43" i="16"/>
  <c r="H43" i="16" s="1"/>
  <c r="J44" i="16"/>
  <c r="B70" i="16"/>
  <c r="D70" i="16"/>
  <c r="C70" i="16"/>
  <c r="E19" i="16"/>
  <c r="E68" i="16"/>
  <c r="J26" i="16"/>
  <c r="G68" i="16"/>
  <c r="G70" i="16" s="1"/>
  <c r="J19" i="16"/>
  <c r="H19" i="16"/>
  <c r="J9" i="16"/>
  <c r="I68" i="16"/>
  <c r="F19" i="16"/>
  <c r="H24" i="16"/>
  <c r="E71" i="31"/>
  <c r="E19" i="31"/>
  <c r="E73" i="31" s="1"/>
  <c r="D71" i="31"/>
  <c r="C71" i="31"/>
  <c r="B71" i="31"/>
  <c r="G70" i="31"/>
  <c r="I70" i="31" s="1"/>
  <c r="F70" i="31"/>
  <c r="H70" i="31" s="1"/>
  <c r="K70" i="31" s="1"/>
  <c r="G69" i="31"/>
  <c r="I69" i="31" s="1"/>
  <c r="F69" i="31"/>
  <c r="H69" i="31" s="1"/>
  <c r="K69" i="31" s="1"/>
  <c r="K68" i="31"/>
  <c r="G68" i="31"/>
  <c r="I68" i="31" s="1"/>
  <c r="F68" i="31"/>
  <c r="K67" i="31"/>
  <c r="G67" i="31"/>
  <c r="I67" i="31" s="1"/>
  <c r="F67" i="31"/>
  <c r="K66" i="31"/>
  <c r="G66" i="31"/>
  <c r="I66" i="31" s="1"/>
  <c r="F66" i="31"/>
  <c r="K65" i="31"/>
  <c r="G65" i="31"/>
  <c r="I65" i="31" s="1"/>
  <c r="F65" i="31"/>
  <c r="K64" i="31"/>
  <c r="G64" i="31"/>
  <c r="I64" i="31" s="1"/>
  <c r="F64" i="31"/>
  <c r="K63" i="31"/>
  <c r="G63" i="31"/>
  <c r="I63" i="31" s="1"/>
  <c r="F63" i="31"/>
  <c r="K62" i="31"/>
  <c r="G62" i="31"/>
  <c r="I62" i="31" s="1"/>
  <c r="F62" i="31"/>
  <c r="K61" i="31"/>
  <c r="G61" i="31"/>
  <c r="I61" i="31" s="1"/>
  <c r="F61" i="31"/>
  <c r="K60" i="31"/>
  <c r="G60" i="31"/>
  <c r="I60" i="31" s="1"/>
  <c r="F60" i="31"/>
  <c r="K59" i="31"/>
  <c r="G59" i="31"/>
  <c r="I59" i="31" s="1"/>
  <c r="F59" i="31"/>
  <c r="K58" i="31"/>
  <c r="G58" i="31"/>
  <c r="I58" i="31" s="1"/>
  <c r="F58" i="31"/>
  <c r="K57" i="31"/>
  <c r="G57" i="31"/>
  <c r="I57" i="31" s="1"/>
  <c r="F57" i="31"/>
  <c r="K56" i="31"/>
  <c r="G56" i="31"/>
  <c r="I56" i="31" s="1"/>
  <c r="F56" i="31"/>
  <c r="K55" i="31"/>
  <c r="G55" i="31"/>
  <c r="I55" i="31" s="1"/>
  <c r="F55" i="31"/>
  <c r="K54" i="31"/>
  <c r="G54" i="31"/>
  <c r="I54" i="31" s="1"/>
  <c r="F54" i="31"/>
  <c r="K53" i="31"/>
  <c r="G53" i="31"/>
  <c r="I53" i="31" s="1"/>
  <c r="F53" i="31"/>
  <c r="K52" i="31"/>
  <c r="G52" i="31"/>
  <c r="I52" i="31" s="1"/>
  <c r="F52" i="31"/>
  <c r="K51" i="31"/>
  <c r="G51" i="31"/>
  <c r="I51" i="31" s="1"/>
  <c r="F51" i="31"/>
  <c r="K50" i="31"/>
  <c r="G50" i="31"/>
  <c r="I50" i="31" s="1"/>
  <c r="F50" i="31"/>
  <c r="K49" i="31"/>
  <c r="G49" i="31"/>
  <c r="I49" i="31" s="1"/>
  <c r="F49" i="31"/>
  <c r="K48" i="31"/>
  <c r="G48" i="31"/>
  <c r="I48" i="31" s="1"/>
  <c r="F48" i="31"/>
  <c r="J47" i="31"/>
  <c r="G47" i="31" s="1"/>
  <c r="I47" i="31" s="1"/>
  <c r="F47" i="31"/>
  <c r="J46" i="31"/>
  <c r="G46" i="31" s="1"/>
  <c r="I46" i="31" s="1"/>
  <c r="F46" i="31"/>
  <c r="K45" i="31"/>
  <c r="G45" i="31"/>
  <c r="I45" i="31" s="1"/>
  <c r="F45" i="31"/>
  <c r="K44" i="31"/>
  <c r="G44" i="31"/>
  <c r="I44" i="31" s="1"/>
  <c r="F44" i="31"/>
  <c r="K41" i="31"/>
  <c r="K36" i="31"/>
  <c r="G36" i="31"/>
  <c r="I36" i="31" s="1"/>
  <c r="F36" i="31"/>
  <c r="J35" i="31"/>
  <c r="G35" i="31" s="1"/>
  <c r="I35" i="31" s="1"/>
  <c r="F35" i="31"/>
  <c r="H35" i="31" s="1"/>
  <c r="K34" i="31"/>
  <c r="G34" i="31"/>
  <c r="I34" i="31" s="1"/>
  <c r="F34" i="31"/>
  <c r="K33" i="31"/>
  <c r="G33" i="31"/>
  <c r="I33" i="31" s="1"/>
  <c r="F33" i="31"/>
  <c r="K32" i="31"/>
  <c r="G32" i="31"/>
  <c r="I32" i="31" s="1"/>
  <c r="F32" i="31"/>
  <c r="K31" i="31"/>
  <c r="G31" i="31"/>
  <c r="I31" i="31" s="1"/>
  <c r="F31" i="31"/>
  <c r="K30" i="31"/>
  <c r="G30" i="31"/>
  <c r="I30" i="31" s="1"/>
  <c r="F30" i="31"/>
  <c r="J29" i="31"/>
  <c r="G29" i="31" s="1"/>
  <c r="I29" i="31" s="1"/>
  <c r="F29" i="31"/>
  <c r="H29" i="31" s="1"/>
  <c r="K29" i="31" s="1"/>
  <c r="K28" i="31"/>
  <c r="G28" i="31"/>
  <c r="I28" i="31" s="1"/>
  <c r="F28" i="31"/>
  <c r="K27" i="31"/>
  <c r="G27" i="31"/>
  <c r="I27" i="31" s="1"/>
  <c r="F27" i="31"/>
  <c r="G26" i="31"/>
  <c r="I26" i="31" s="1"/>
  <c r="F26" i="31"/>
  <c r="H26" i="31" s="1"/>
  <c r="K25" i="31"/>
  <c r="G25" i="31"/>
  <c r="I25" i="31" s="1"/>
  <c r="F25" i="31"/>
  <c r="K24" i="31"/>
  <c r="G24" i="31"/>
  <c r="F24" i="31"/>
  <c r="K21" i="31"/>
  <c r="J19" i="31"/>
  <c r="D19" i="31"/>
  <c r="C19" i="31"/>
  <c r="B19" i="31"/>
  <c r="K18" i="31"/>
  <c r="G18" i="31"/>
  <c r="I18" i="31" s="1"/>
  <c r="F18" i="31"/>
  <c r="K17" i="31"/>
  <c r="G17" i="31"/>
  <c r="I17" i="31" s="1"/>
  <c r="F17" i="31"/>
  <c r="K16" i="31"/>
  <c r="G16" i="31"/>
  <c r="I16" i="31" s="1"/>
  <c r="F16" i="31"/>
  <c r="K15" i="31"/>
  <c r="G15" i="31"/>
  <c r="I15" i="31" s="1"/>
  <c r="F15" i="31"/>
  <c r="K14" i="31"/>
  <c r="G14" i="31"/>
  <c r="I14" i="31" s="1"/>
  <c r="F14" i="31"/>
  <c r="K13" i="31"/>
  <c r="G13" i="31"/>
  <c r="I13" i="31" s="1"/>
  <c r="F13" i="31"/>
  <c r="K12" i="31"/>
  <c r="G12" i="31"/>
  <c r="I12" i="31" s="1"/>
  <c r="F12" i="31"/>
  <c r="K11" i="31"/>
  <c r="G11" i="31"/>
  <c r="I11" i="31" s="1"/>
  <c r="F11" i="31"/>
  <c r="K10" i="31"/>
  <c r="G10" i="31"/>
  <c r="I10" i="31" s="1"/>
  <c r="F10" i="31"/>
  <c r="G9" i="31"/>
  <c r="I9" i="31" s="1"/>
  <c r="F9" i="31"/>
  <c r="H9" i="31" s="1"/>
  <c r="K8" i="31"/>
  <c r="G8" i="31"/>
  <c r="I8" i="31" s="1"/>
  <c r="K7" i="31"/>
  <c r="G7" i="31"/>
  <c r="I7" i="31" s="1"/>
  <c r="D73" i="31" l="1"/>
  <c r="K47" i="31"/>
  <c r="K35" i="31"/>
  <c r="H68" i="16"/>
  <c r="F68" i="16"/>
  <c r="G19" i="31"/>
  <c r="G71" i="31"/>
  <c r="G73" i="31" s="1"/>
  <c r="I19" i="31"/>
  <c r="B73" i="31"/>
  <c r="E70" i="16"/>
  <c r="J68" i="16"/>
  <c r="F70" i="16"/>
  <c r="C73" i="31"/>
  <c r="F71" i="31"/>
  <c r="H71" i="31"/>
  <c r="K26" i="31"/>
  <c r="H19" i="31"/>
  <c r="K9" i="31"/>
  <c r="J71" i="31"/>
  <c r="I24" i="31"/>
  <c r="I71" i="31" s="1"/>
  <c r="K46" i="31"/>
  <c r="F19" i="31"/>
  <c r="D71" i="15"/>
  <c r="C71" i="15"/>
  <c r="B71" i="15"/>
  <c r="F70" i="15"/>
  <c r="H70" i="15" s="1"/>
  <c r="E70" i="15"/>
  <c r="G70" i="15" s="1"/>
  <c r="J70" i="15" s="1"/>
  <c r="F69" i="15"/>
  <c r="H69" i="15" s="1"/>
  <c r="E69" i="15"/>
  <c r="G69" i="15" s="1"/>
  <c r="J69" i="15" s="1"/>
  <c r="J68" i="15"/>
  <c r="F68" i="15"/>
  <c r="H68" i="15" s="1"/>
  <c r="E68" i="15"/>
  <c r="J67" i="15"/>
  <c r="F67" i="15"/>
  <c r="H67" i="15" s="1"/>
  <c r="E67" i="15"/>
  <c r="J66" i="15"/>
  <c r="F66" i="15"/>
  <c r="H66" i="15" s="1"/>
  <c r="E66" i="15"/>
  <c r="J65" i="15"/>
  <c r="F65" i="15"/>
  <c r="H65" i="15" s="1"/>
  <c r="E65" i="15"/>
  <c r="J64" i="15"/>
  <c r="F64" i="15"/>
  <c r="H64" i="15" s="1"/>
  <c r="E64" i="15"/>
  <c r="J63" i="15"/>
  <c r="F63" i="15"/>
  <c r="H63" i="15" s="1"/>
  <c r="E63" i="15"/>
  <c r="J62" i="15"/>
  <c r="F62" i="15"/>
  <c r="H62" i="15" s="1"/>
  <c r="E62" i="15"/>
  <c r="J61" i="15"/>
  <c r="F61" i="15"/>
  <c r="H61" i="15" s="1"/>
  <c r="E61" i="15"/>
  <c r="J60" i="15"/>
  <c r="F60" i="15"/>
  <c r="H60" i="15" s="1"/>
  <c r="E60" i="15"/>
  <c r="J59" i="15"/>
  <c r="F59" i="15"/>
  <c r="H59" i="15" s="1"/>
  <c r="E59" i="15"/>
  <c r="J58" i="15"/>
  <c r="F58" i="15"/>
  <c r="H58" i="15" s="1"/>
  <c r="E58" i="15"/>
  <c r="J57" i="15"/>
  <c r="F57" i="15"/>
  <c r="H57" i="15" s="1"/>
  <c r="E57" i="15"/>
  <c r="J56" i="15"/>
  <c r="F56" i="15"/>
  <c r="H56" i="15" s="1"/>
  <c r="E56" i="15"/>
  <c r="J55" i="15"/>
  <c r="F55" i="15"/>
  <c r="H55" i="15" s="1"/>
  <c r="E55" i="15"/>
  <c r="J54" i="15"/>
  <c r="F54" i="15"/>
  <c r="H54" i="15" s="1"/>
  <c r="E54" i="15"/>
  <c r="J53" i="15"/>
  <c r="F53" i="15"/>
  <c r="H53" i="15" s="1"/>
  <c r="E53" i="15"/>
  <c r="J52" i="15"/>
  <c r="F52" i="15"/>
  <c r="H52" i="15" s="1"/>
  <c r="E52" i="15"/>
  <c r="J51" i="15"/>
  <c r="F51" i="15"/>
  <c r="H51" i="15" s="1"/>
  <c r="E51" i="15"/>
  <c r="J50" i="15"/>
  <c r="F50" i="15"/>
  <c r="H50" i="15" s="1"/>
  <c r="E50" i="15"/>
  <c r="J49" i="15"/>
  <c r="F49" i="15"/>
  <c r="H49" i="15" s="1"/>
  <c r="E49" i="15"/>
  <c r="J48" i="15"/>
  <c r="F48" i="15"/>
  <c r="H48" i="15" s="1"/>
  <c r="E48" i="15"/>
  <c r="I47" i="15"/>
  <c r="J47" i="15" s="1"/>
  <c r="F47" i="15"/>
  <c r="H47" i="15" s="1"/>
  <c r="E47" i="15"/>
  <c r="I46" i="15"/>
  <c r="F46" i="15" s="1"/>
  <c r="H46" i="15" s="1"/>
  <c r="E46" i="15"/>
  <c r="J45" i="15"/>
  <c r="F45" i="15"/>
  <c r="H45" i="15" s="1"/>
  <c r="E45" i="15"/>
  <c r="J44" i="15"/>
  <c r="F44" i="15"/>
  <c r="H44" i="15" s="1"/>
  <c r="E44" i="15"/>
  <c r="J41" i="15"/>
  <c r="J36" i="15"/>
  <c r="F36" i="15"/>
  <c r="H36" i="15" s="1"/>
  <c r="E36" i="15"/>
  <c r="I35" i="15"/>
  <c r="F35" i="15"/>
  <c r="H35" i="15" s="1"/>
  <c r="E35" i="15"/>
  <c r="G35" i="15" s="1"/>
  <c r="J35" i="15" s="1"/>
  <c r="J34" i="15"/>
  <c r="F34" i="15"/>
  <c r="H34" i="15" s="1"/>
  <c r="E34" i="15"/>
  <c r="J33" i="15"/>
  <c r="F33" i="15"/>
  <c r="H33" i="15" s="1"/>
  <c r="E33" i="15"/>
  <c r="J32" i="15"/>
  <c r="F32" i="15"/>
  <c r="H32" i="15" s="1"/>
  <c r="E32" i="15"/>
  <c r="J31" i="15"/>
  <c r="F31" i="15"/>
  <c r="H31" i="15" s="1"/>
  <c r="E31" i="15"/>
  <c r="J30" i="15"/>
  <c r="F30" i="15"/>
  <c r="H30" i="15" s="1"/>
  <c r="E30" i="15"/>
  <c r="I29" i="15"/>
  <c r="F29" i="15" s="1"/>
  <c r="H29" i="15" s="1"/>
  <c r="E29" i="15"/>
  <c r="G29" i="15" s="1"/>
  <c r="J28" i="15"/>
  <c r="F28" i="15"/>
  <c r="H28" i="15" s="1"/>
  <c r="E28" i="15"/>
  <c r="J27" i="15"/>
  <c r="F27" i="15"/>
  <c r="H27" i="15" s="1"/>
  <c r="E27" i="15"/>
  <c r="F26" i="15"/>
  <c r="H26" i="15" s="1"/>
  <c r="E26" i="15"/>
  <c r="G26" i="15" s="1"/>
  <c r="J25" i="15"/>
  <c r="F25" i="15"/>
  <c r="H25" i="15" s="1"/>
  <c r="E25" i="15"/>
  <c r="J24" i="15"/>
  <c r="F24" i="15"/>
  <c r="H24" i="15" s="1"/>
  <c r="E24" i="15"/>
  <c r="J21" i="15"/>
  <c r="I19" i="15"/>
  <c r="D19" i="15"/>
  <c r="C19" i="15"/>
  <c r="B19" i="15"/>
  <c r="J18" i="15"/>
  <c r="F18" i="15"/>
  <c r="H18" i="15" s="1"/>
  <c r="E18" i="15"/>
  <c r="J17" i="15"/>
  <c r="F17" i="15"/>
  <c r="H17" i="15" s="1"/>
  <c r="E17" i="15"/>
  <c r="J16" i="15"/>
  <c r="F16" i="15"/>
  <c r="H16" i="15" s="1"/>
  <c r="E16" i="15"/>
  <c r="J15" i="15"/>
  <c r="F15" i="15"/>
  <c r="H15" i="15" s="1"/>
  <c r="E15" i="15"/>
  <c r="J14" i="15"/>
  <c r="F14" i="15"/>
  <c r="H14" i="15" s="1"/>
  <c r="E14" i="15"/>
  <c r="J13" i="15"/>
  <c r="F13" i="15"/>
  <c r="H13" i="15" s="1"/>
  <c r="E13" i="15"/>
  <c r="J12" i="15"/>
  <c r="F12" i="15"/>
  <c r="H12" i="15" s="1"/>
  <c r="E12" i="15"/>
  <c r="J11" i="15"/>
  <c r="F11" i="15"/>
  <c r="H11" i="15" s="1"/>
  <c r="E11" i="15"/>
  <c r="J10" i="15"/>
  <c r="F10" i="15"/>
  <c r="H10" i="15" s="1"/>
  <c r="E10" i="15"/>
  <c r="F9" i="15"/>
  <c r="H9" i="15" s="1"/>
  <c r="E9" i="15"/>
  <c r="G9" i="15" s="1"/>
  <c r="J8" i="15"/>
  <c r="F8" i="15"/>
  <c r="H8" i="15" s="1"/>
  <c r="J7" i="15"/>
  <c r="F7" i="15"/>
  <c r="H7" i="15" s="1"/>
  <c r="J29" i="15" l="1"/>
  <c r="F73" i="31"/>
  <c r="H73" i="31"/>
  <c r="K19" i="31"/>
  <c r="K71" i="31"/>
  <c r="F71" i="15"/>
  <c r="D73" i="15"/>
  <c r="C73" i="15"/>
  <c r="B73" i="15"/>
  <c r="E71" i="15"/>
  <c r="J26" i="15"/>
  <c r="G71" i="15"/>
  <c r="H19" i="15"/>
  <c r="G19" i="15"/>
  <c r="J9" i="15"/>
  <c r="E19" i="15"/>
  <c r="I71" i="15"/>
  <c r="F19" i="15"/>
  <c r="H71" i="15"/>
  <c r="J46" i="15"/>
  <c r="E71" i="30"/>
  <c r="E19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36" i="30"/>
  <c r="F35" i="30"/>
  <c r="H35" i="30" s="1"/>
  <c r="F34" i="30"/>
  <c r="F33" i="30"/>
  <c r="F32" i="30"/>
  <c r="F31" i="30"/>
  <c r="F30" i="30"/>
  <c r="F29" i="30"/>
  <c r="H29" i="30" s="1"/>
  <c r="F28" i="30"/>
  <c r="F27" i="30"/>
  <c r="F26" i="30"/>
  <c r="H26" i="30" s="1"/>
  <c r="K26" i="30" s="1"/>
  <c r="F25" i="30"/>
  <c r="F24" i="30"/>
  <c r="F18" i="30"/>
  <c r="F17" i="30"/>
  <c r="F16" i="30"/>
  <c r="F15" i="30"/>
  <c r="F14" i="30"/>
  <c r="F13" i="30"/>
  <c r="F12" i="30"/>
  <c r="F11" i="30"/>
  <c r="F10" i="30"/>
  <c r="F9" i="30"/>
  <c r="H9" i="30" s="1"/>
  <c r="F8" i="30"/>
  <c r="F7" i="30"/>
  <c r="D71" i="30"/>
  <c r="C71" i="30"/>
  <c r="B71" i="30"/>
  <c r="G70" i="30"/>
  <c r="I70" i="30" s="1"/>
  <c r="H70" i="30"/>
  <c r="K70" i="30" s="1"/>
  <c r="H69" i="30"/>
  <c r="K69" i="30" s="1"/>
  <c r="G69" i="30"/>
  <c r="I69" i="30" s="1"/>
  <c r="K68" i="30"/>
  <c r="G68" i="30"/>
  <c r="I68" i="30" s="1"/>
  <c r="K67" i="30"/>
  <c r="G67" i="30"/>
  <c r="I67" i="30" s="1"/>
  <c r="K66" i="30"/>
  <c r="G66" i="30"/>
  <c r="I66" i="30" s="1"/>
  <c r="K65" i="30"/>
  <c r="G65" i="30"/>
  <c r="I65" i="30" s="1"/>
  <c r="K64" i="30"/>
  <c r="G64" i="30"/>
  <c r="I64" i="30" s="1"/>
  <c r="K63" i="30"/>
  <c r="G63" i="30"/>
  <c r="I63" i="30" s="1"/>
  <c r="K62" i="30"/>
  <c r="G62" i="30"/>
  <c r="I62" i="30" s="1"/>
  <c r="K61" i="30"/>
  <c r="G61" i="30"/>
  <c r="I61" i="30" s="1"/>
  <c r="K60" i="30"/>
  <c r="G60" i="30"/>
  <c r="I60" i="30" s="1"/>
  <c r="K59" i="30"/>
  <c r="G59" i="30"/>
  <c r="I59" i="30" s="1"/>
  <c r="K58" i="30"/>
  <c r="G58" i="30"/>
  <c r="I58" i="30" s="1"/>
  <c r="K57" i="30"/>
  <c r="G57" i="30"/>
  <c r="I57" i="30" s="1"/>
  <c r="K56" i="30"/>
  <c r="G56" i="30"/>
  <c r="I56" i="30" s="1"/>
  <c r="K55" i="30"/>
  <c r="G55" i="30"/>
  <c r="I55" i="30" s="1"/>
  <c r="K54" i="30"/>
  <c r="G54" i="30"/>
  <c r="I54" i="30" s="1"/>
  <c r="K53" i="30"/>
  <c r="G53" i="30"/>
  <c r="I53" i="30" s="1"/>
  <c r="K52" i="30"/>
  <c r="G52" i="30"/>
  <c r="I52" i="30" s="1"/>
  <c r="K51" i="30"/>
  <c r="G51" i="30"/>
  <c r="I51" i="30" s="1"/>
  <c r="K50" i="30"/>
  <c r="G50" i="30"/>
  <c r="I50" i="30" s="1"/>
  <c r="K49" i="30"/>
  <c r="G49" i="30"/>
  <c r="I49" i="30" s="1"/>
  <c r="K48" i="30"/>
  <c r="G48" i="30"/>
  <c r="I48" i="30" s="1"/>
  <c r="J47" i="30"/>
  <c r="G47" i="30" s="1"/>
  <c r="I47" i="30" s="1"/>
  <c r="J46" i="30"/>
  <c r="G46" i="30" s="1"/>
  <c r="I46" i="30" s="1"/>
  <c r="K45" i="30"/>
  <c r="G45" i="30"/>
  <c r="I45" i="30" s="1"/>
  <c r="K44" i="30"/>
  <c r="G44" i="30"/>
  <c r="I44" i="30" s="1"/>
  <c r="K41" i="30"/>
  <c r="K36" i="30"/>
  <c r="G36" i="30"/>
  <c r="I36" i="30" s="1"/>
  <c r="J35" i="30"/>
  <c r="G35" i="30" s="1"/>
  <c r="I35" i="30" s="1"/>
  <c r="K34" i="30"/>
  <c r="G34" i="30"/>
  <c r="I34" i="30" s="1"/>
  <c r="K33" i="30"/>
  <c r="G33" i="30"/>
  <c r="I33" i="30" s="1"/>
  <c r="K32" i="30"/>
  <c r="G32" i="30"/>
  <c r="I32" i="30" s="1"/>
  <c r="K31" i="30"/>
  <c r="G31" i="30"/>
  <c r="I31" i="30" s="1"/>
  <c r="K30" i="30"/>
  <c r="G30" i="30"/>
  <c r="I30" i="30" s="1"/>
  <c r="J29" i="30"/>
  <c r="G29" i="30" s="1"/>
  <c r="I29" i="30" s="1"/>
  <c r="K28" i="30"/>
  <c r="G28" i="30"/>
  <c r="I28" i="30" s="1"/>
  <c r="K27" i="30"/>
  <c r="G27" i="30"/>
  <c r="I27" i="30" s="1"/>
  <c r="G26" i="30"/>
  <c r="I26" i="30" s="1"/>
  <c r="K25" i="30"/>
  <c r="G25" i="30"/>
  <c r="I25" i="30" s="1"/>
  <c r="K24" i="30"/>
  <c r="G24" i="30"/>
  <c r="I24" i="30" s="1"/>
  <c r="K21" i="30"/>
  <c r="J19" i="30"/>
  <c r="D19" i="30"/>
  <c r="C19" i="30"/>
  <c r="B19" i="30"/>
  <c r="B73" i="30" s="1"/>
  <c r="K18" i="30"/>
  <c r="G18" i="30"/>
  <c r="I18" i="30" s="1"/>
  <c r="K17" i="30"/>
  <c r="G17" i="30"/>
  <c r="I17" i="30" s="1"/>
  <c r="K16" i="30"/>
  <c r="G16" i="30"/>
  <c r="I16" i="30" s="1"/>
  <c r="K15" i="30"/>
  <c r="G15" i="30"/>
  <c r="I15" i="30" s="1"/>
  <c r="K14" i="30"/>
  <c r="G14" i="30"/>
  <c r="I14" i="30" s="1"/>
  <c r="K13" i="30"/>
  <c r="G13" i="30"/>
  <c r="I13" i="30" s="1"/>
  <c r="K12" i="30"/>
  <c r="G12" i="30"/>
  <c r="I12" i="30" s="1"/>
  <c r="K11" i="30"/>
  <c r="G11" i="30"/>
  <c r="I11" i="30" s="1"/>
  <c r="K10" i="30"/>
  <c r="G10" i="30"/>
  <c r="I10" i="30" s="1"/>
  <c r="G9" i="30"/>
  <c r="I9" i="30" s="1"/>
  <c r="K8" i="30"/>
  <c r="G8" i="30"/>
  <c r="K7" i="30"/>
  <c r="G7" i="30"/>
  <c r="I7" i="30" s="1"/>
  <c r="D71" i="14"/>
  <c r="C71" i="14"/>
  <c r="B71" i="14"/>
  <c r="F70" i="14"/>
  <c r="H70" i="14" s="1"/>
  <c r="E70" i="14"/>
  <c r="G70" i="14" s="1"/>
  <c r="J70" i="14" s="1"/>
  <c r="F69" i="14"/>
  <c r="H69" i="14" s="1"/>
  <c r="E69" i="14"/>
  <c r="G69" i="14" s="1"/>
  <c r="J69" i="14" s="1"/>
  <c r="J68" i="14"/>
  <c r="F68" i="14"/>
  <c r="H68" i="14" s="1"/>
  <c r="E68" i="14"/>
  <c r="J67" i="14"/>
  <c r="F67" i="14"/>
  <c r="H67" i="14" s="1"/>
  <c r="E67" i="14"/>
  <c r="J66" i="14"/>
  <c r="F66" i="14"/>
  <c r="H66" i="14" s="1"/>
  <c r="E66" i="14"/>
  <c r="J65" i="14"/>
  <c r="F65" i="14"/>
  <c r="H65" i="14" s="1"/>
  <c r="E65" i="14"/>
  <c r="J64" i="14"/>
  <c r="F64" i="14"/>
  <c r="H64" i="14" s="1"/>
  <c r="E64" i="14"/>
  <c r="J63" i="14"/>
  <c r="F63" i="14"/>
  <c r="H63" i="14" s="1"/>
  <c r="E63" i="14"/>
  <c r="J62" i="14"/>
  <c r="F62" i="14"/>
  <c r="H62" i="14" s="1"/>
  <c r="E62" i="14"/>
  <c r="J61" i="14"/>
  <c r="F61" i="14"/>
  <c r="H61" i="14" s="1"/>
  <c r="E61" i="14"/>
  <c r="J60" i="14"/>
  <c r="F60" i="14"/>
  <c r="H60" i="14" s="1"/>
  <c r="E60" i="14"/>
  <c r="J59" i="14"/>
  <c r="F59" i="14"/>
  <c r="H59" i="14" s="1"/>
  <c r="E59" i="14"/>
  <c r="J58" i="14"/>
  <c r="F58" i="14"/>
  <c r="H58" i="14" s="1"/>
  <c r="E58" i="14"/>
  <c r="J57" i="14"/>
  <c r="F57" i="14"/>
  <c r="H57" i="14" s="1"/>
  <c r="E57" i="14"/>
  <c r="J56" i="14"/>
  <c r="F56" i="14"/>
  <c r="H56" i="14" s="1"/>
  <c r="E56" i="14"/>
  <c r="J55" i="14"/>
  <c r="F55" i="14"/>
  <c r="H55" i="14" s="1"/>
  <c r="E55" i="14"/>
  <c r="J54" i="14"/>
  <c r="F54" i="14"/>
  <c r="H54" i="14" s="1"/>
  <c r="E54" i="14"/>
  <c r="J53" i="14"/>
  <c r="F53" i="14"/>
  <c r="H53" i="14" s="1"/>
  <c r="E53" i="14"/>
  <c r="J52" i="14"/>
  <c r="F52" i="14"/>
  <c r="H52" i="14" s="1"/>
  <c r="E52" i="14"/>
  <c r="J51" i="14"/>
  <c r="F51" i="14"/>
  <c r="H51" i="14" s="1"/>
  <c r="E51" i="14"/>
  <c r="J50" i="14"/>
  <c r="F50" i="14"/>
  <c r="H50" i="14" s="1"/>
  <c r="E50" i="14"/>
  <c r="J49" i="14"/>
  <c r="F49" i="14"/>
  <c r="H49" i="14" s="1"/>
  <c r="E49" i="14"/>
  <c r="J48" i="14"/>
  <c r="F48" i="14"/>
  <c r="H48" i="14" s="1"/>
  <c r="E48" i="14"/>
  <c r="I47" i="14"/>
  <c r="F47" i="14" s="1"/>
  <c r="H47" i="14" s="1"/>
  <c r="E47" i="14"/>
  <c r="I46" i="14"/>
  <c r="J46" i="14" s="1"/>
  <c r="E46" i="14"/>
  <c r="J45" i="14"/>
  <c r="F45" i="14"/>
  <c r="H45" i="14" s="1"/>
  <c r="E45" i="14"/>
  <c r="J44" i="14"/>
  <c r="F44" i="14"/>
  <c r="H44" i="14" s="1"/>
  <c r="E44" i="14"/>
  <c r="J41" i="14"/>
  <c r="J36" i="14"/>
  <c r="F36" i="14"/>
  <c r="H36" i="14" s="1"/>
  <c r="E36" i="14"/>
  <c r="I35" i="14"/>
  <c r="F35" i="14" s="1"/>
  <c r="H35" i="14" s="1"/>
  <c r="E35" i="14"/>
  <c r="G35" i="14" s="1"/>
  <c r="J34" i="14"/>
  <c r="F34" i="14"/>
  <c r="H34" i="14" s="1"/>
  <c r="E34" i="14"/>
  <c r="J33" i="14"/>
  <c r="F33" i="14"/>
  <c r="H33" i="14" s="1"/>
  <c r="E33" i="14"/>
  <c r="J32" i="14"/>
  <c r="F32" i="14"/>
  <c r="H32" i="14" s="1"/>
  <c r="E32" i="14"/>
  <c r="J31" i="14"/>
  <c r="F31" i="14"/>
  <c r="H31" i="14" s="1"/>
  <c r="E31" i="14"/>
  <c r="J30" i="14"/>
  <c r="F30" i="14"/>
  <c r="H30" i="14" s="1"/>
  <c r="E30" i="14"/>
  <c r="I29" i="14"/>
  <c r="F29" i="14" s="1"/>
  <c r="H29" i="14" s="1"/>
  <c r="E29" i="14"/>
  <c r="G29" i="14" s="1"/>
  <c r="J28" i="14"/>
  <c r="F28" i="14"/>
  <c r="H28" i="14" s="1"/>
  <c r="E28" i="14"/>
  <c r="J27" i="14"/>
  <c r="F27" i="14"/>
  <c r="H27" i="14" s="1"/>
  <c r="E27" i="14"/>
  <c r="F26" i="14"/>
  <c r="H26" i="14" s="1"/>
  <c r="E26" i="14"/>
  <c r="G26" i="14" s="1"/>
  <c r="J26" i="14" s="1"/>
  <c r="J25" i="14"/>
  <c r="F25" i="14"/>
  <c r="H25" i="14" s="1"/>
  <c r="E25" i="14"/>
  <c r="J24" i="14"/>
  <c r="F24" i="14"/>
  <c r="H24" i="14" s="1"/>
  <c r="E24" i="14"/>
  <c r="J21" i="14"/>
  <c r="I19" i="14"/>
  <c r="D19" i="14"/>
  <c r="C19" i="14"/>
  <c r="B19" i="14"/>
  <c r="J18" i="14"/>
  <c r="F18" i="14"/>
  <c r="H18" i="14" s="1"/>
  <c r="E18" i="14"/>
  <c r="J17" i="14"/>
  <c r="F17" i="14"/>
  <c r="H17" i="14" s="1"/>
  <c r="E17" i="14"/>
  <c r="J16" i="14"/>
  <c r="F16" i="14"/>
  <c r="H16" i="14" s="1"/>
  <c r="E16" i="14"/>
  <c r="J15" i="14"/>
  <c r="F15" i="14"/>
  <c r="H15" i="14" s="1"/>
  <c r="E15" i="14"/>
  <c r="J14" i="14"/>
  <c r="F14" i="14"/>
  <c r="H14" i="14" s="1"/>
  <c r="E14" i="14"/>
  <c r="J13" i="14"/>
  <c r="F13" i="14"/>
  <c r="H13" i="14" s="1"/>
  <c r="E13" i="14"/>
  <c r="J12" i="14"/>
  <c r="F12" i="14"/>
  <c r="H12" i="14" s="1"/>
  <c r="E12" i="14"/>
  <c r="J11" i="14"/>
  <c r="F11" i="14"/>
  <c r="H11" i="14" s="1"/>
  <c r="E11" i="14"/>
  <c r="J10" i="14"/>
  <c r="F10" i="14"/>
  <c r="H10" i="14" s="1"/>
  <c r="E10" i="14"/>
  <c r="F9" i="14"/>
  <c r="H9" i="14" s="1"/>
  <c r="E9" i="14"/>
  <c r="G9" i="14" s="1"/>
  <c r="J8" i="14"/>
  <c r="F8" i="14"/>
  <c r="H8" i="14" s="1"/>
  <c r="J7" i="14"/>
  <c r="F7" i="14"/>
  <c r="H7" i="14" s="1"/>
  <c r="G19" i="30" l="1"/>
  <c r="E73" i="30"/>
  <c r="K35" i="30"/>
  <c r="J35" i="14"/>
  <c r="D73" i="30"/>
  <c r="K29" i="30"/>
  <c r="F73" i="15"/>
  <c r="E73" i="15"/>
  <c r="G73" i="15"/>
  <c r="J19" i="15"/>
  <c r="J71" i="15"/>
  <c r="C73" i="30"/>
  <c r="F71" i="30"/>
  <c r="H19" i="30"/>
  <c r="K9" i="30"/>
  <c r="I71" i="30"/>
  <c r="F19" i="30"/>
  <c r="J71" i="30"/>
  <c r="K46" i="30"/>
  <c r="G71" i="30"/>
  <c r="G73" i="30" s="1"/>
  <c r="I8" i="30"/>
  <c r="I19" i="30" s="1"/>
  <c r="K47" i="30"/>
  <c r="H71" i="30"/>
  <c r="K71" i="30" s="1"/>
  <c r="J29" i="14"/>
  <c r="D73" i="14"/>
  <c r="C73" i="14"/>
  <c r="E19" i="14"/>
  <c r="B73" i="14"/>
  <c r="E71" i="14"/>
  <c r="G19" i="14"/>
  <c r="J9" i="14"/>
  <c r="H19" i="14"/>
  <c r="F46" i="14"/>
  <c r="H46" i="14" s="1"/>
  <c r="H71" i="14" s="1"/>
  <c r="J47" i="14"/>
  <c r="G71" i="14"/>
  <c r="I71" i="14"/>
  <c r="F19" i="14"/>
  <c r="F72" i="28"/>
  <c r="H72" i="28" s="1"/>
  <c r="K72" i="28" s="1"/>
  <c r="F71" i="28"/>
  <c r="H71" i="28" s="1"/>
  <c r="K71" i="28" s="1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38" i="28"/>
  <c r="F37" i="28"/>
  <c r="H37" i="28" s="1"/>
  <c r="F36" i="28"/>
  <c r="F35" i="28"/>
  <c r="F34" i="28"/>
  <c r="F33" i="28"/>
  <c r="F32" i="28"/>
  <c r="F31" i="28"/>
  <c r="H31" i="28" s="1"/>
  <c r="F30" i="28"/>
  <c r="F29" i="28"/>
  <c r="F28" i="28"/>
  <c r="H28" i="28" s="1"/>
  <c r="F27" i="28"/>
  <c r="F26" i="28"/>
  <c r="F20" i="28"/>
  <c r="F19" i="28"/>
  <c r="F18" i="28"/>
  <c r="F17" i="28"/>
  <c r="F16" i="28"/>
  <c r="F15" i="28"/>
  <c r="F14" i="28"/>
  <c r="F13" i="28"/>
  <c r="F12" i="28"/>
  <c r="F11" i="28"/>
  <c r="H11" i="28" s="1"/>
  <c r="F10" i="28"/>
  <c r="F9" i="28"/>
  <c r="E21" i="28"/>
  <c r="E73" i="28"/>
  <c r="D73" i="28"/>
  <c r="C73" i="28"/>
  <c r="B73" i="28"/>
  <c r="G72" i="28"/>
  <c r="I72" i="28" s="1"/>
  <c r="G71" i="28"/>
  <c r="I71" i="28" s="1"/>
  <c r="K70" i="28"/>
  <c r="G70" i="28"/>
  <c r="I70" i="28" s="1"/>
  <c r="K69" i="28"/>
  <c r="G69" i="28"/>
  <c r="I69" i="28" s="1"/>
  <c r="K68" i="28"/>
  <c r="G68" i="28"/>
  <c r="I68" i="28" s="1"/>
  <c r="K67" i="28"/>
  <c r="G67" i="28"/>
  <c r="I67" i="28" s="1"/>
  <c r="K66" i="28"/>
  <c r="G66" i="28"/>
  <c r="I66" i="28" s="1"/>
  <c r="K65" i="28"/>
  <c r="G65" i="28"/>
  <c r="I65" i="28" s="1"/>
  <c r="K64" i="28"/>
  <c r="G64" i="28"/>
  <c r="I64" i="28" s="1"/>
  <c r="K63" i="28"/>
  <c r="G63" i="28"/>
  <c r="I63" i="28" s="1"/>
  <c r="K62" i="28"/>
  <c r="G62" i="28"/>
  <c r="I62" i="28" s="1"/>
  <c r="K61" i="28"/>
  <c r="G61" i="28"/>
  <c r="I61" i="28" s="1"/>
  <c r="K60" i="28"/>
  <c r="G60" i="28"/>
  <c r="I60" i="28" s="1"/>
  <c r="K59" i="28"/>
  <c r="G59" i="28"/>
  <c r="I59" i="28" s="1"/>
  <c r="K58" i="28"/>
  <c r="G58" i="28"/>
  <c r="I58" i="28" s="1"/>
  <c r="K57" i="28"/>
  <c r="G57" i="28"/>
  <c r="I57" i="28" s="1"/>
  <c r="K56" i="28"/>
  <c r="G56" i="28"/>
  <c r="I56" i="28" s="1"/>
  <c r="K55" i="28"/>
  <c r="G55" i="28"/>
  <c r="I55" i="28" s="1"/>
  <c r="K54" i="28"/>
  <c r="G54" i="28"/>
  <c r="I54" i="28" s="1"/>
  <c r="K53" i="28"/>
  <c r="G53" i="28"/>
  <c r="I53" i="28" s="1"/>
  <c r="K52" i="28"/>
  <c r="G52" i="28"/>
  <c r="I52" i="28" s="1"/>
  <c r="K51" i="28"/>
  <c r="G51" i="28"/>
  <c r="I51" i="28" s="1"/>
  <c r="K50" i="28"/>
  <c r="G50" i="28"/>
  <c r="I50" i="28" s="1"/>
  <c r="J49" i="28"/>
  <c r="G49" i="28" s="1"/>
  <c r="I49" i="28" s="1"/>
  <c r="J48" i="28"/>
  <c r="G48" i="28" s="1"/>
  <c r="I48" i="28" s="1"/>
  <c r="K47" i="28"/>
  <c r="G47" i="28"/>
  <c r="I47" i="28" s="1"/>
  <c r="K46" i="28"/>
  <c r="G46" i="28"/>
  <c r="I46" i="28" s="1"/>
  <c r="K43" i="28"/>
  <c r="K38" i="28"/>
  <c r="G38" i="28"/>
  <c r="I38" i="28" s="1"/>
  <c r="J37" i="28"/>
  <c r="G37" i="28" s="1"/>
  <c r="I37" i="28" s="1"/>
  <c r="K36" i="28"/>
  <c r="G36" i="28"/>
  <c r="I36" i="28" s="1"/>
  <c r="K35" i="28"/>
  <c r="G35" i="28"/>
  <c r="I35" i="28" s="1"/>
  <c r="K34" i="28"/>
  <c r="I34" i="28"/>
  <c r="G34" i="28"/>
  <c r="K33" i="28"/>
  <c r="G33" i="28"/>
  <c r="I33" i="28" s="1"/>
  <c r="K32" i="28"/>
  <c r="G32" i="28"/>
  <c r="I32" i="28" s="1"/>
  <c r="J31" i="28"/>
  <c r="G31" i="28" s="1"/>
  <c r="I31" i="28" s="1"/>
  <c r="K30" i="28"/>
  <c r="G30" i="28"/>
  <c r="I30" i="28" s="1"/>
  <c r="K29" i="28"/>
  <c r="G29" i="28"/>
  <c r="I29" i="28" s="1"/>
  <c r="G28" i="28"/>
  <c r="I28" i="28" s="1"/>
  <c r="K27" i="28"/>
  <c r="G27" i="28"/>
  <c r="I27" i="28" s="1"/>
  <c r="K26" i="28"/>
  <c r="G26" i="28"/>
  <c r="K23" i="28"/>
  <c r="J21" i="28"/>
  <c r="D21" i="28"/>
  <c r="C21" i="28"/>
  <c r="B21" i="28"/>
  <c r="B75" i="28" s="1"/>
  <c r="K20" i="28"/>
  <c r="G20" i="28"/>
  <c r="I20" i="28" s="1"/>
  <c r="K19" i="28"/>
  <c r="G19" i="28"/>
  <c r="I19" i="28" s="1"/>
  <c r="K18" i="28"/>
  <c r="G18" i="28"/>
  <c r="I18" i="28" s="1"/>
  <c r="K17" i="28"/>
  <c r="G17" i="28"/>
  <c r="I17" i="28" s="1"/>
  <c r="K16" i="28"/>
  <c r="G16" i="28"/>
  <c r="I16" i="28" s="1"/>
  <c r="K15" i="28"/>
  <c r="G15" i="28"/>
  <c r="I15" i="28" s="1"/>
  <c r="K14" i="28"/>
  <c r="G14" i="28"/>
  <c r="I14" i="28" s="1"/>
  <c r="K13" i="28"/>
  <c r="G13" i="28"/>
  <c r="I13" i="28" s="1"/>
  <c r="K12" i="28"/>
  <c r="G12" i="28"/>
  <c r="I12" i="28" s="1"/>
  <c r="G11" i="28"/>
  <c r="I11" i="28" s="1"/>
  <c r="K10" i="28"/>
  <c r="G10" i="28"/>
  <c r="I10" i="28" s="1"/>
  <c r="K9" i="28"/>
  <c r="G9" i="28"/>
  <c r="E9" i="13"/>
  <c r="D73" i="13"/>
  <c r="C73" i="13"/>
  <c r="B73" i="13"/>
  <c r="F72" i="13"/>
  <c r="H72" i="13" s="1"/>
  <c r="E72" i="13"/>
  <c r="G72" i="13" s="1"/>
  <c r="J72" i="13" s="1"/>
  <c r="F71" i="13"/>
  <c r="H71" i="13" s="1"/>
  <c r="E71" i="13"/>
  <c r="G71" i="13" s="1"/>
  <c r="J71" i="13" s="1"/>
  <c r="J70" i="13"/>
  <c r="F70" i="13"/>
  <c r="H70" i="13" s="1"/>
  <c r="E70" i="13"/>
  <c r="J69" i="13"/>
  <c r="F69" i="13"/>
  <c r="H69" i="13" s="1"/>
  <c r="E69" i="13"/>
  <c r="J68" i="13"/>
  <c r="F68" i="13"/>
  <c r="H68" i="13" s="1"/>
  <c r="E68" i="13"/>
  <c r="J67" i="13"/>
  <c r="F67" i="13"/>
  <c r="H67" i="13" s="1"/>
  <c r="E67" i="13"/>
  <c r="J66" i="13"/>
  <c r="F66" i="13"/>
  <c r="H66" i="13" s="1"/>
  <c r="E66" i="13"/>
  <c r="J65" i="13"/>
  <c r="F65" i="13"/>
  <c r="H65" i="13" s="1"/>
  <c r="E65" i="13"/>
  <c r="J64" i="13"/>
  <c r="F64" i="13"/>
  <c r="H64" i="13" s="1"/>
  <c r="E64" i="13"/>
  <c r="J63" i="13"/>
  <c r="F63" i="13"/>
  <c r="H63" i="13" s="1"/>
  <c r="E63" i="13"/>
  <c r="J62" i="13"/>
  <c r="F62" i="13"/>
  <c r="H62" i="13" s="1"/>
  <c r="E62" i="13"/>
  <c r="J61" i="13"/>
  <c r="F61" i="13"/>
  <c r="H61" i="13" s="1"/>
  <c r="E61" i="13"/>
  <c r="J60" i="13"/>
  <c r="F60" i="13"/>
  <c r="H60" i="13" s="1"/>
  <c r="E60" i="13"/>
  <c r="J59" i="13"/>
  <c r="F59" i="13"/>
  <c r="H59" i="13" s="1"/>
  <c r="E59" i="13"/>
  <c r="J58" i="13"/>
  <c r="F58" i="13"/>
  <c r="H58" i="13" s="1"/>
  <c r="E58" i="13"/>
  <c r="J57" i="13"/>
  <c r="F57" i="13"/>
  <c r="H57" i="13" s="1"/>
  <c r="E57" i="13"/>
  <c r="J56" i="13"/>
  <c r="F56" i="13"/>
  <c r="H56" i="13" s="1"/>
  <c r="E56" i="13"/>
  <c r="J55" i="13"/>
  <c r="F55" i="13"/>
  <c r="H55" i="13" s="1"/>
  <c r="E55" i="13"/>
  <c r="J54" i="13"/>
  <c r="F54" i="13"/>
  <c r="H54" i="13" s="1"/>
  <c r="E54" i="13"/>
  <c r="J53" i="13"/>
  <c r="F53" i="13"/>
  <c r="H53" i="13" s="1"/>
  <c r="E53" i="13"/>
  <c r="J52" i="13"/>
  <c r="F52" i="13"/>
  <c r="H52" i="13" s="1"/>
  <c r="E52" i="13"/>
  <c r="J51" i="13"/>
  <c r="F51" i="13"/>
  <c r="H51" i="13" s="1"/>
  <c r="E51" i="13"/>
  <c r="J50" i="13"/>
  <c r="F50" i="13"/>
  <c r="H50" i="13" s="1"/>
  <c r="E50" i="13"/>
  <c r="I49" i="13"/>
  <c r="J49" i="13" s="1"/>
  <c r="E49" i="13"/>
  <c r="I48" i="13"/>
  <c r="F48" i="13" s="1"/>
  <c r="H48" i="13" s="1"/>
  <c r="E48" i="13"/>
  <c r="J47" i="13"/>
  <c r="F47" i="13"/>
  <c r="H47" i="13" s="1"/>
  <c r="E47" i="13"/>
  <c r="J46" i="13"/>
  <c r="F46" i="13"/>
  <c r="H46" i="13" s="1"/>
  <c r="E46" i="13"/>
  <c r="J43" i="13"/>
  <c r="J38" i="13"/>
  <c r="F38" i="13"/>
  <c r="H38" i="13" s="1"/>
  <c r="E38" i="13"/>
  <c r="I37" i="13"/>
  <c r="F37" i="13" s="1"/>
  <c r="H37" i="13" s="1"/>
  <c r="E37" i="13"/>
  <c r="G37" i="13" s="1"/>
  <c r="J36" i="13"/>
  <c r="F36" i="13"/>
  <c r="H36" i="13" s="1"/>
  <c r="E36" i="13"/>
  <c r="J35" i="13"/>
  <c r="F35" i="13"/>
  <c r="H35" i="13" s="1"/>
  <c r="E35" i="13"/>
  <c r="J34" i="13"/>
  <c r="F34" i="13"/>
  <c r="H34" i="13" s="1"/>
  <c r="E34" i="13"/>
  <c r="J33" i="13"/>
  <c r="F33" i="13"/>
  <c r="H33" i="13" s="1"/>
  <c r="E33" i="13"/>
  <c r="J32" i="13"/>
  <c r="F32" i="13"/>
  <c r="H32" i="13" s="1"/>
  <c r="E32" i="13"/>
  <c r="I31" i="13"/>
  <c r="F31" i="13" s="1"/>
  <c r="H31" i="13" s="1"/>
  <c r="E31" i="13"/>
  <c r="G31" i="13" s="1"/>
  <c r="J31" i="13" s="1"/>
  <c r="J30" i="13"/>
  <c r="F30" i="13"/>
  <c r="H30" i="13" s="1"/>
  <c r="E30" i="13"/>
  <c r="J29" i="13"/>
  <c r="F29" i="13"/>
  <c r="H29" i="13" s="1"/>
  <c r="E29" i="13"/>
  <c r="F28" i="13"/>
  <c r="H28" i="13" s="1"/>
  <c r="E28" i="13"/>
  <c r="G28" i="13" s="1"/>
  <c r="J27" i="13"/>
  <c r="F27" i="13"/>
  <c r="H27" i="13" s="1"/>
  <c r="E27" i="13"/>
  <c r="J26" i="13"/>
  <c r="F26" i="13"/>
  <c r="H26" i="13" s="1"/>
  <c r="E26" i="13"/>
  <c r="J23" i="13"/>
  <c r="I21" i="13"/>
  <c r="D21" i="13"/>
  <c r="C21" i="13"/>
  <c r="B21" i="13"/>
  <c r="J20" i="13"/>
  <c r="F20" i="13"/>
  <c r="H20" i="13" s="1"/>
  <c r="E20" i="13"/>
  <c r="J19" i="13"/>
  <c r="F19" i="13"/>
  <c r="H19" i="13" s="1"/>
  <c r="E19" i="13"/>
  <c r="J18" i="13"/>
  <c r="F18" i="13"/>
  <c r="H18" i="13" s="1"/>
  <c r="E18" i="13"/>
  <c r="J17" i="13"/>
  <c r="F17" i="13"/>
  <c r="H17" i="13" s="1"/>
  <c r="E17" i="13"/>
  <c r="J16" i="13"/>
  <c r="F16" i="13"/>
  <c r="H16" i="13" s="1"/>
  <c r="E16" i="13"/>
  <c r="J15" i="13"/>
  <c r="F15" i="13"/>
  <c r="H15" i="13" s="1"/>
  <c r="E15" i="13"/>
  <c r="J14" i="13"/>
  <c r="F14" i="13"/>
  <c r="H14" i="13" s="1"/>
  <c r="E14" i="13"/>
  <c r="J13" i="13"/>
  <c r="F13" i="13"/>
  <c r="H13" i="13" s="1"/>
  <c r="E13" i="13"/>
  <c r="J12" i="13"/>
  <c r="F12" i="13"/>
  <c r="H12" i="13" s="1"/>
  <c r="E12" i="13"/>
  <c r="F11" i="13"/>
  <c r="H11" i="13" s="1"/>
  <c r="E11" i="13"/>
  <c r="G11" i="13" s="1"/>
  <c r="J11" i="13" s="1"/>
  <c r="J10" i="13"/>
  <c r="F10" i="13"/>
  <c r="H10" i="13" s="1"/>
  <c r="E10" i="13"/>
  <c r="J9" i="13"/>
  <c r="F9" i="13"/>
  <c r="H9" i="13" s="1"/>
  <c r="G21" i="28" l="1"/>
  <c r="G73" i="28"/>
  <c r="K49" i="28"/>
  <c r="K31" i="28"/>
  <c r="J71" i="14"/>
  <c r="G73" i="13"/>
  <c r="J37" i="13"/>
  <c r="E75" i="28"/>
  <c r="F73" i="30"/>
  <c r="H73" i="30"/>
  <c r="K19" i="30"/>
  <c r="E73" i="14"/>
  <c r="F71" i="14"/>
  <c r="F73" i="14" s="1"/>
  <c r="G73" i="14"/>
  <c r="J19" i="14"/>
  <c r="J48" i="13"/>
  <c r="I9" i="28"/>
  <c r="I21" i="28" s="1"/>
  <c r="D75" i="28"/>
  <c r="K37" i="28"/>
  <c r="C75" i="28"/>
  <c r="F73" i="28"/>
  <c r="F21" i="28"/>
  <c r="K11" i="28"/>
  <c r="H21" i="28"/>
  <c r="G75" i="28"/>
  <c r="K28" i="28"/>
  <c r="H73" i="28"/>
  <c r="J73" i="28"/>
  <c r="I26" i="28"/>
  <c r="I73" i="28" s="1"/>
  <c r="K48" i="28"/>
  <c r="D75" i="13"/>
  <c r="C75" i="13"/>
  <c r="E21" i="13"/>
  <c r="B75" i="13"/>
  <c r="E73" i="13"/>
  <c r="H21" i="13"/>
  <c r="F21" i="13"/>
  <c r="G21" i="13"/>
  <c r="I73" i="13"/>
  <c r="J73" i="13" s="1"/>
  <c r="J28" i="13"/>
  <c r="F49" i="13"/>
  <c r="E73" i="27"/>
  <c r="E21" i="27"/>
  <c r="F72" i="27"/>
  <c r="H72" i="27" s="1"/>
  <c r="K72" i="27" s="1"/>
  <c r="F71" i="27"/>
  <c r="H71" i="27" s="1"/>
  <c r="K71" i="27" s="1"/>
  <c r="F70" i="27"/>
  <c r="F69" i="27"/>
  <c r="F68" i="27"/>
  <c r="F67" i="27"/>
  <c r="F66" i="27"/>
  <c r="H66" i="27" s="1"/>
  <c r="K66" i="27" s="1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38" i="27"/>
  <c r="F37" i="27"/>
  <c r="H37" i="27" s="1"/>
  <c r="K37" i="27" s="1"/>
  <c r="F36" i="27"/>
  <c r="F35" i="27"/>
  <c r="F34" i="27"/>
  <c r="F33" i="27"/>
  <c r="F32" i="27"/>
  <c r="F31" i="27"/>
  <c r="H31" i="27" s="1"/>
  <c r="F30" i="27"/>
  <c r="F29" i="27"/>
  <c r="F28" i="27"/>
  <c r="H28" i="27" s="1"/>
  <c r="F27" i="27"/>
  <c r="F26" i="27"/>
  <c r="F20" i="27"/>
  <c r="F19" i="27"/>
  <c r="F18" i="27"/>
  <c r="F17" i="27"/>
  <c r="F16" i="27"/>
  <c r="F15" i="27"/>
  <c r="F14" i="27"/>
  <c r="F13" i="27"/>
  <c r="F12" i="27"/>
  <c r="F11" i="27"/>
  <c r="H11" i="27" s="1"/>
  <c r="K11" i="27" s="1"/>
  <c r="F10" i="27"/>
  <c r="F9" i="27"/>
  <c r="E73" i="26"/>
  <c r="D73" i="27"/>
  <c r="C73" i="27"/>
  <c r="B73" i="27"/>
  <c r="G72" i="27"/>
  <c r="I72" i="27" s="1"/>
  <c r="G71" i="27"/>
  <c r="I71" i="27" s="1"/>
  <c r="K70" i="27"/>
  <c r="G70" i="27"/>
  <c r="I70" i="27" s="1"/>
  <c r="K69" i="27"/>
  <c r="G69" i="27"/>
  <c r="I69" i="27" s="1"/>
  <c r="K68" i="27"/>
  <c r="G68" i="27"/>
  <c r="I68" i="27" s="1"/>
  <c r="K67" i="27"/>
  <c r="G67" i="27"/>
  <c r="I67" i="27" s="1"/>
  <c r="G66" i="27"/>
  <c r="I66" i="27" s="1"/>
  <c r="K65" i="27"/>
  <c r="G65" i="27"/>
  <c r="I65" i="27" s="1"/>
  <c r="K64" i="27"/>
  <c r="G64" i="27"/>
  <c r="I64" i="27" s="1"/>
  <c r="K63" i="27"/>
  <c r="G63" i="27"/>
  <c r="I63" i="27" s="1"/>
  <c r="K62" i="27"/>
  <c r="G62" i="27"/>
  <c r="I62" i="27" s="1"/>
  <c r="K61" i="27"/>
  <c r="G61" i="27"/>
  <c r="I61" i="27" s="1"/>
  <c r="K60" i="27"/>
  <c r="G60" i="27"/>
  <c r="I60" i="27" s="1"/>
  <c r="K59" i="27"/>
  <c r="G59" i="27"/>
  <c r="I59" i="27" s="1"/>
  <c r="K58" i="27"/>
  <c r="G58" i="27"/>
  <c r="I58" i="27" s="1"/>
  <c r="K57" i="27"/>
  <c r="G57" i="27"/>
  <c r="I57" i="27" s="1"/>
  <c r="K56" i="27"/>
  <c r="G56" i="27"/>
  <c r="I56" i="27" s="1"/>
  <c r="K55" i="27"/>
  <c r="I55" i="27"/>
  <c r="G55" i="27"/>
  <c r="K54" i="27"/>
  <c r="G54" i="27"/>
  <c r="I54" i="27" s="1"/>
  <c r="K53" i="27"/>
  <c r="G53" i="27"/>
  <c r="I53" i="27" s="1"/>
  <c r="K52" i="27"/>
  <c r="G52" i="27"/>
  <c r="I52" i="27" s="1"/>
  <c r="K51" i="27"/>
  <c r="G51" i="27"/>
  <c r="I51" i="27" s="1"/>
  <c r="K50" i="27"/>
  <c r="G50" i="27"/>
  <c r="I50" i="27" s="1"/>
  <c r="J49" i="27"/>
  <c r="G49" i="27" s="1"/>
  <c r="I49" i="27" s="1"/>
  <c r="K48" i="27"/>
  <c r="J48" i="27"/>
  <c r="G48" i="27"/>
  <c r="I48" i="27" s="1"/>
  <c r="K47" i="27"/>
  <c r="G47" i="27"/>
  <c r="I47" i="27" s="1"/>
  <c r="K46" i="27"/>
  <c r="G46" i="27"/>
  <c r="I46" i="27" s="1"/>
  <c r="K43" i="27"/>
  <c r="K38" i="27"/>
  <c r="G38" i="27"/>
  <c r="I38" i="27" s="1"/>
  <c r="J37" i="27"/>
  <c r="G37" i="27" s="1"/>
  <c r="I37" i="27" s="1"/>
  <c r="K36" i="27"/>
  <c r="G36" i="27"/>
  <c r="I36" i="27" s="1"/>
  <c r="K35" i="27"/>
  <c r="G35" i="27"/>
  <c r="I35" i="27" s="1"/>
  <c r="K34" i="27"/>
  <c r="G34" i="27"/>
  <c r="I34" i="27" s="1"/>
  <c r="K33" i="27"/>
  <c r="G33" i="27"/>
  <c r="I33" i="27" s="1"/>
  <c r="K32" i="27"/>
  <c r="G32" i="27"/>
  <c r="I32" i="27" s="1"/>
  <c r="J31" i="27"/>
  <c r="G31" i="27" s="1"/>
  <c r="I31" i="27" s="1"/>
  <c r="K30" i="27"/>
  <c r="G30" i="27"/>
  <c r="I30" i="27" s="1"/>
  <c r="K29" i="27"/>
  <c r="G29" i="27"/>
  <c r="I29" i="27" s="1"/>
  <c r="G28" i="27"/>
  <c r="I28" i="27" s="1"/>
  <c r="K27" i="27"/>
  <c r="G27" i="27"/>
  <c r="I27" i="27" s="1"/>
  <c r="K26" i="27"/>
  <c r="G26" i="27"/>
  <c r="I26" i="27" s="1"/>
  <c r="K23" i="27"/>
  <c r="J21" i="27"/>
  <c r="D21" i="27"/>
  <c r="D75" i="27" s="1"/>
  <c r="C21" i="27"/>
  <c r="B21" i="27"/>
  <c r="K20" i="27"/>
  <c r="G20" i="27"/>
  <c r="I20" i="27" s="1"/>
  <c r="K19" i="27"/>
  <c r="G19" i="27"/>
  <c r="I19" i="27" s="1"/>
  <c r="K18" i="27"/>
  <c r="G18" i="27"/>
  <c r="I18" i="27" s="1"/>
  <c r="K17" i="27"/>
  <c r="G17" i="27"/>
  <c r="I17" i="27" s="1"/>
  <c r="K16" i="27"/>
  <c r="G16" i="27"/>
  <c r="I16" i="27" s="1"/>
  <c r="K15" i="27"/>
  <c r="G15" i="27"/>
  <c r="I15" i="27" s="1"/>
  <c r="K14" i="27"/>
  <c r="G14" i="27"/>
  <c r="I14" i="27" s="1"/>
  <c r="K13" i="27"/>
  <c r="G13" i="27"/>
  <c r="I13" i="27" s="1"/>
  <c r="K12" i="27"/>
  <c r="G12" i="27"/>
  <c r="I12" i="27" s="1"/>
  <c r="G11" i="27"/>
  <c r="I11" i="27" s="1"/>
  <c r="K10" i="27"/>
  <c r="G10" i="27"/>
  <c r="I10" i="27" s="1"/>
  <c r="K9" i="27"/>
  <c r="G9" i="27"/>
  <c r="I9" i="27" s="1"/>
  <c r="E21" i="26"/>
  <c r="F72" i="26"/>
  <c r="F71" i="26"/>
  <c r="H71" i="26" s="1"/>
  <c r="K71" i="26" s="1"/>
  <c r="F70" i="26"/>
  <c r="F69" i="26"/>
  <c r="F68" i="26"/>
  <c r="F67" i="26"/>
  <c r="F66" i="26"/>
  <c r="F65" i="26"/>
  <c r="F64" i="26"/>
  <c r="H64" i="26" s="1"/>
  <c r="K64" i="26" s="1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38" i="26"/>
  <c r="F37" i="26"/>
  <c r="H37" i="26" s="1"/>
  <c r="F36" i="26"/>
  <c r="F35" i="26"/>
  <c r="F34" i="26"/>
  <c r="F33" i="26"/>
  <c r="F32" i="26"/>
  <c r="F31" i="26"/>
  <c r="H31" i="26" s="1"/>
  <c r="K31" i="26" s="1"/>
  <c r="F30" i="26"/>
  <c r="F29" i="26"/>
  <c r="F28" i="26"/>
  <c r="H28" i="26" s="1"/>
  <c r="F27" i="26"/>
  <c r="F26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D73" i="26"/>
  <c r="C73" i="26"/>
  <c r="B73" i="26"/>
  <c r="G72" i="26"/>
  <c r="I72" i="26" s="1"/>
  <c r="H72" i="26"/>
  <c r="K72" i="26" s="1"/>
  <c r="G71" i="26"/>
  <c r="I71" i="26" s="1"/>
  <c r="K70" i="26"/>
  <c r="G70" i="26"/>
  <c r="I70" i="26" s="1"/>
  <c r="K69" i="26"/>
  <c r="G69" i="26"/>
  <c r="I69" i="26" s="1"/>
  <c r="K68" i="26"/>
  <c r="G68" i="26"/>
  <c r="I68" i="26" s="1"/>
  <c r="K67" i="26"/>
  <c r="G67" i="26"/>
  <c r="I67" i="26" s="1"/>
  <c r="H66" i="26"/>
  <c r="K66" i="26" s="1"/>
  <c r="G66" i="26"/>
  <c r="I66" i="26" s="1"/>
  <c r="K65" i="26"/>
  <c r="G65" i="26"/>
  <c r="I65" i="26" s="1"/>
  <c r="G64" i="26"/>
  <c r="I64" i="26" s="1"/>
  <c r="K63" i="26"/>
  <c r="G63" i="26"/>
  <c r="I63" i="26" s="1"/>
  <c r="K62" i="26"/>
  <c r="G62" i="26"/>
  <c r="I62" i="26" s="1"/>
  <c r="K61" i="26"/>
  <c r="G61" i="26"/>
  <c r="I61" i="26" s="1"/>
  <c r="K60" i="26"/>
  <c r="G60" i="26"/>
  <c r="I60" i="26" s="1"/>
  <c r="K59" i="26"/>
  <c r="G59" i="26"/>
  <c r="I59" i="26" s="1"/>
  <c r="K58" i="26"/>
  <c r="G58" i="26"/>
  <c r="I58" i="26" s="1"/>
  <c r="K57" i="26"/>
  <c r="G57" i="26"/>
  <c r="I57" i="26" s="1"/>
  <c r="K56" i="26"/>
  <c r="G56" i="26"/>
  <c r="I56" i="26" s="1"/>
  <c r="K55" i="26"/>
  <c r="G55" i="26"/>
  <c r="I55" i="26" s="1"/>
  <c r="K54" i="26"/>
  <c r="G54" i="26"/>
  <c r="I54" i="26" s="1"/>
  <c r="K53" i="26"/>
  <c r="G53" i="26"/>
  <c r="I53" i="26" s="1"/>
  <c r="K52" i="26"/>
  <c r="G52" i="26"/>
  <c r="I52" i="26" s="1"/>
  <c r="K51" i="26"/>
  <c r="G51" i="26"/>
  <c r="I51" i="26" s="1"/>
  <c r="K50" i="26"/>
  <c r="G50" i="26"/>
  <c r="I50" i="26" s="1"/>
  <c r="J49" i="26"/>
  <c r="K49" i="26" s="1"/>
  <c r="J48" i="26"/>
  <c r="K48" i="26" s="1"/>
  <c r="K47" i="26"/>
  <c r="G47" i="26"/>
  <c r="I47" i="26" s="1"/>
  <c r="K46" i="26"/>
  <c r="G46" i="26"/>
  <c r="I46" i="26" s="1"/>
  <c r="K43" i="26"/>
  <c r="K38" i="26"/>
  <c r="G38" i="26"/>
  <c r="I38" i="26" s="1"/>
  <c r="J37" i="26"/>
  <c r="G37" i="26" s="1"/>
  <c r="I37" i="26" s="1"/>
  <c r="K36" i="26"/>
  <c r="G36" i="26"/>
  <c r="I36" i="26" s="1"/>
  <c r="K35" i="26"/>
  <c r="G35" i="26"/>
  <c r="I35" i="26" s="1"/>
  <c r="K34" i="26"/>
  <c r="G34" i="26"/>
  <c r="I34" i="26" s="1"/>
  <c r="K33" i="26"/>
  <c r="G33" i="26"/>
  <c r="I33" i="26" s="1"/>
  <c r="K32" i="26"/>
  <c r="G32" i="26"/>
  <c r="I32" i="26" s="1"/>
  <c r="J31" i="26"/>
  <c r="G31" i="26" s="1"/>
  <c r="I31" i="26" s="1"/>
  <c r="K30" i="26"/>
  <c r="G30" i="26"/>
  <c r="I30" i="26" s="1"/>
  <c r="K29" i="26"/>
  <c r="G29" i="26"/>
  <c r="I29" i="26" s="1"/>
  <c r="G28" i="26"/>
  <c r="I28" i="26" s="1"/>
  <c r="K27" i="26"/>
  <c r="G27" i="26"/>
  <c r="I27" i="26" s="1"/>
  <c r="K26" i="26"/>
  <c r="G26" i="26"/>
  <c r="I26" i="26" s="1"/>
  <c r="K23" i="26"/>
  <c r="J21" i="26"/>
  <c r="D21" i="26"/>
  <c r="C21" i="26"/>
  <c r="B21" i="26"/>
  <c r="B75" i="26" s="1"/>
  <c r="K20" i="26"/>
  <c r="G20" i="26"/>
  <c r="I20" i="26" s="1"/>
  <c r="K19" i="26"/>
  <c r="G19" i="26"/>
  <c r="I19" i="26" s="1"/>
  <c r="K18" i="26"/>
  <c r="G18" i="26"/>
  <c r="I18" i="26" s="1"/>
  <c r="K17" i="26"/>
  <c r="G17" i="26"/>
  <c r="I17" i="26" s="1"/>
  <c r="K16" i="26"/>
  <c r="G16" i="26"/>
  <c r="I16" i="26" s="1"/>
  <c r="K15" i="26"/>
  <c r="G15" i="26"/>
  <c r="I15" i="26" s="1"/>
  <c r="K14" i="26"/>
  <c r="G14" i="26"/>
  <c r="I14" i="26" s="1"/>
  <c r="K13" i="26"/>
  <c r="G13" i="26"/>
  <c r="I13" i="26" s="1"/>
  <c r="K12" i="26"/>
  <c r="G12" i="26"/>
  <c r="I12" i="26" s="1"/>
  <c r="I11" i="26"/>
  <c r="H11" i="26"/>
  <c r="H21" i="26" s="1"/>
  <c r="G11" i="26"/>
  <c r="K10" i="26"/>
  <c r="G10" i="26"/>
  <c r="I10" i="26" s="1"/>
  <c r="K9" i="26"/>
  <c r="G9" i="26"/>
  <c r="E21" i="25"/>
  <c r="E73" i="25"/>
  <c r="F72" i="25"/>
  <c r="H72" i="25" s="1"/>
  <c r="K72" i="25" s="1"/>
  <c r="F71" i="25"/>
  <c r="H71" i="25" s="1"/>
  <c r="K71" i="25" s="1"/>
  <c r="F70" i="25"/>
  <c r="F69" i="25"/>
  <c r="F68" i="25"/>
  <c r="H68" i="25" s="1"/>
  <c r="K68" i="25" s="1"/>
  <c r="F67" i="25"/>
  <c r="H67" i="25" s="1"/>
  <c r="K67" i="25" s="1"/>
  <c r="F66" i="25"/>
  <c r="F65" i="25"/>
  <c r="F64" i="25"/>
  <c r="H64" i="25" s="1"/>
  <c r="K64" i="25" s="1"/>
  <c r="F63" i="25"/>
  <c r="F62" i="25"/>
  <c r="F61" i="25"/>
  <c r="F60" i="25"/>
  <c r="H60" i="25" s="1"/>
  <c r="K60" i="25" s="1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38" i="25"/>
  <c r="F37" i="25"/>
  <c r="H37" i="25" s="1"/>
  <c r="K37" i="25" s="1"/>
  <c r="F36" i="25"/>
  <c r="F35" i="25"/>
  <c r="F34" i="25"/>
  <c r="F33" i="25"/>
  <c r="H33" i="25" s="1"/>
  <c r="K33" i="25" s="1"/>
  <c r="F32" i="25"/>
  <c r="F31" i="25"/>
  <c r="H31" i="25" s="1"/>
  <c r="F30" i="25"/>
  <c r="H30" i="25" s="1"/>
  <c r="K30" i="25" s="1"/>
  <c r="F29" i="25"/>
  <c r="F28" i="25"/>
  <c r="F27" i="25"/>
  <c r="F26" i="25"/>
  <c r="F20" i="25"/>
  <c r="F19" i="25"/>
  <c r="F18" i="25"/>
  <c r="F17" i="25"/>
  <c r="F16" i="25"/>
  <c r="F15" i="25"/>
  <c r="F14" i="25"/>
  <c r="F13" i="25"/>
  <c r="F11" i="25"/>
  <c r="H11" i="25" s="1"/>
  <c r="F10" i="25"/>
  <c r="F9" i="25"/>
  <c r="D73" i="25"/>
  <c r="C73" i="25"/>
  <c r="B73" i="25"/>
  <c r="G72" i="25"/>
  <c r="I72" i="25" s="1"/>
  <c r="G71" i="25"/>
  <c r="I71" i="25" s="1"/>
  <c r="K70" i="25"/>
  <c r="G70" i="25"/>
  <c r="I70" i="25" s="1"/>
  <c r="K69" i="25"/>
  <c r="G69" i="25"/>
  <c r="I69" i="25" s="1"/>
  <c r="G68" i="25"/>
  <c r="I68" i="25" s="1"/>
  <c r="G67" i="25"/>
  <c r="I67" i="25" s="1"/>
  <c r="G66" i="25"/>
  <c r="I66" i="25" s="1"/>
  <c r="H66" i="25"/>
  <c r="K66" i="25" s="1"/>
  <c r="K65" i="25"/>
  <c r="G65" i="25"/>
  <c r="I65" i="25" s="1"/>
  <c r="G64" i="25"/>
  <c r="I64" i="25" s="1"/>
  <c r="K63" i="25"/>
  <c r="G63" i="25"/>
  <c r="I63" i="25" s="1"/>
  <c r="K62" i="25"/>
  <c r="G62" i="25"/>
  <c r="I62" i="25" s="1"/>
  <c r="K61" i="25"/>
  <c r="G61" i="25"/>
  <c r="I61" i="25" s="1"/>
  <c r="G60" i="25"/>
  <c r="I60" i="25" s="1"/>
  <c r="K59" i="25"/>
  <c r="G59" i="25"/>
  <c r="I59" i="25" s="1"/>
  <c r="K58" i="25"/>
  <c r="G58" i="25"/>
  <c r="I58" i="25" s="1"/>
  <c r="K57" i="25"/>
  <c r="G57" i="25"/>
  <c r="I57" i="25" s="1"/>
  <c r="K56" i="25"/>
  <c r="G56" i="25"/>
  <c r="I56" i="25" s="1"/>
  <c r="G55" i="25"/>
  <c r="I55" i="25" s="1"/>
  <c r="H55" i="25"/>
  <c r="K55" i="25" s="1"/>
  <c r="K54" i="25"/>
  <c r="G54" i="25"/>
  <c r="I54" i="25" s="1"/>
  <c r="K53" i="25"/>
  <c r="G53" i="25"/>
  <c r="I53" i="25" s="1"/>
  <c r="K52" i="25"/>
  <c r="G52" i="25"/>
  <c r="I52" i="25" s="1"/>
  <c r="G51" i="25"/>
  <c r="I51" i="25" s="1"/>
  <c r="H51" i="25"/>
  <c r="K51" i="25" s="1"/>
  <c r="K50" i="25"/>
  <c r="G50" i="25"/>
  <c r="I50" i="25" s="1"/>
  <c r="J49" i="25"/>
  <c r="K49" i="25" s="1"/>
  <c r="G49" i="25"/>
  <c r="I49" i="25" s="1"/>
  <c r="J48" i="25"/>
  <c r="G48" i="25" s="1"/>
  <c r="K47" i="25"/>
  <c r="G47" i="25"/>
  <c r="I47" i="25" s="1"/>
  <c r="K46" i="25"/>
  <c r="G46" i="25"/>
  <c r="I46" i="25" s="1"/>
  <c r="K43" i="25"/>
  <c r="K38" i="25"/>
  <c r="G38" i="25"/>
  <c r="I38" i="25" s="1"/>
  <c r="J37" i="25"/>
  <c r="G37" i="25" s="1"/>
  <c r="I37" i="25" s="1"/>
  <c r="K36" i="25"/>
  <c r="G36" i="25"/>
  <c r="I36" i="25" s="1"/>
  <c r="K35" i="25"/>
  <c r="G35" i="25"/>
  <c r="I35" i="25" s="1"/>
  <c r="K34" i="25"/>
  <c r="G34" i="25"/>
  <c r="I34" i="25" s="1"/>
  <c r="G33" i="25"/>
  <c r="I33" i="25" s="1"/>
  <c r="I32" i="25"/>
  <c r="G32" i="25"/>
  <c r="H32" i="25"/>
  <c r="K32" i="25" s="1"/>
  <c r="J31" i="25"/>
  <c r="G31" i="25" s="1"/>
  <c r="I31" i="25" s="1"/>
  <c r="G30" i="25"/>
  <c r="I30" i="25" s="1"/>
  <c r="K29" i="25"/>
  <c r="G29" i="25"/>
  <c r="I29" i="25" s="1"/>
  <c r="G28" i="25"/>
  <c r="I28" i="25" s="1"/>
  <c r="H28" i="25"/>
  <c r="K27" i="25"/>
  <c r="G27" i="25"/>
  <c r="I27" i="25" s="1"/>
  <c r="K26" i="25"/>
  <c r="G26" i="25"/>
  <c r="I26" i="25" s="1"/>
  <c r="K23" i="25"/>
  <c r="J21" i="25"/>
  <c r="C21" i="25"/>
  <c r="B21" i="25"/>
  <c r="K20" i="25"/>
  <c r="G20" i="25"/>
  <c r="I20" i="25" s="1"/>
  <c r="K19" i="25"/>
  <c r="I19" i="25"/>
  <c r="G19" i="25"/>
  <c r="K18" i="25"/>
  <c r="G18" i="25"/>
  <c r="I18" i="25" s="1"/>
  <c r="K17" i="25"/>
  <c r="G17" i="25"/>
  <c r="I17" i="25" s="1"/>
  <c r="K16" i="25"/>
  <c r="G16" i="25"/>
  <c r="I16" i="25" s="1"/>
  <c r="K15" i="25"/>
  <c r="G15" i="25"/>
  <c r="I15" i="25" s="1"/>
  <c r="K14" i="25"/>
  <c r="G14" i="25"/>
  <c r="I14" i="25" s="1"/>
  <c r="K13" i="25"/>
  <c r="G13" i="25"/>
  <c r="I13" i="25" s="1"/>
  <c r="H12" i="25"/>
  <c r="K12" i="25" s="1"/>
  <c r="G12" i="25"/>
  <c r="I12" i="25" s="1"/>
  <c r="D12" i="25"/>
  <c r="F12" i="25" s="1"/>
  <c r="G11" i="25"/>
  <c r="I11" i="25" s="1"/>
  <c r="K10" i="25"/>
  <c r="G10" i="25"/>
  <c r="I10" i="25" s="1"/>
  <c r="K9" i="25"/>
  <c r="G9" i="25"/>
  <c r="D73" i="12"/>
  <c r="C73" i="12"/>
  <c r="B73" i="12"/>
  <c r="F72" i="12"/>
  <c r="H72" i="12" s="1"/>
  <c r="E72" i="12"/>
  <c r="G72" i="12" s="1"/>
  <c r="J72" i="12" s="1"/>
  <c r="G71" i="12"/>
  <c r="J71" i="12" s="1"/>
  <c r="F71" i="12"/>
  <c r="H71" i="12" s="1"/>
  <c r="E71" i="12"/>
  <c r="J70" i="12"/>
  <c r="F70" i="12"/>
  <c r="H70" i="12" s="1"/>
  <c r="E70" i="12"/>
  <c r="J69" i="12"/>
  <c r="F69" i="12"/>
  <c r="H69" i="12" s="1"/>
  <c r="E69" i="12"/>
  <c r="J68" i="12"/>
  <c r="F68" i="12"/>
  <c r="H68" i="12" s="1"/>
  <c r="E68" i="12"/>
  <c r="J67" i="12"/>
  <c r="F67" i="12"/>
  <c r="H67" i="12" s="1"/>
  <c r="E67" i="12"/>
  <c r="F66" i="12"/>
  <c r="H66" i="12" s="1"/>
  <c r="E66" i="12"/>
  <c r="G66" i="12" s="1"/>
  <c r="J66" i="12" s="1"/>
  <c r="J65" i="12"/>
  <c r="F65" i="12"/>
  <c r="H65" i="12" s="1"/>
  <c r="E65" i="12"/>
  <c r="F64" i="12"/>
  <c r="H64" i="12" s="1"/>
  <c r="E64" i="12"/>
  <c r="J64" i="12" s="1"/>
  <c r="J63" i="12"/>
  <c r="F63" i="12"/>
  <c r="H63" i="12" s="1"/>
  <c r="E63" i="12"/>
  <c r="J62" i="12"/>
  <c r="F62" i="12"/>
  <c r="H62" i="12" s="1"/>
  <c r="E62" i="12"/>
  <c r="J61" i="12"/>
  <c r="F61" i="12"/>
  <c r="H61" i="12" s="1"/>
  <c r="E61" i="12"/>
  <c r="J60" i="12"/>
  <c r="F60" i="12"/>
  <c r="H60" i="12" s="1"/>
  <c r="E60" i="12"/>
  <c r="J59" i="12"/>
  <c r="F59" i="12"/>
  <c r="H59" i="12" s="1"/>
  <c r="E59" i="12"/>
  <c r="J58" i="12"/>
  <c r="F58" i="12"/>
  <c r="H58" i="12" s="1"/>
  <c r="E58" i="12"/>
  <c r="J57" i="12"/>
  <c r="F57" i="12"/>
  <c r="H57" i="12" s="1"/>
  <c r="E57" i="12"/>
  <c r="J56" i="12"/>
  <c r="F56" i="12"/>
  <c r="H56" i="12" s="1"/>
  <c r="E56" i="12"/>
  <c r="J55" i="12"/>
  <c r="F55" i="12"/>
  <c r="H55" i="12" s="1"/>
  <c r="E55" i="12"/>
  <c r="J54" i="12"/>
  <c r="F54" i="12"/>
  <c r="H54" i="12" s="1"/>
  <c r="E54" i="12"/>
  <c r="J53" i="12"/>
  <c r="F53" i="12"/>
  <c r="H53" i="12" s="1"/>
  <c r="E53" i="12"/>
  <c r="J52" i="12"/>
  <c r="F52" i="12"/>
  <c r="H52" i="12" s="1"/>
  <c r="E52" i="12"/>
  <c r="J51" i="12"/>
  <c r="F51" i="12"/>
  <c r="H51" i="12" s="1"/>
  <c r="E51" i="12"/>
  <c r="J50" i="12"/>
  <c r="F50" i="12"/>
  <c r="H50" i="12" s="1"/>
  <c r="E50" i="12"/>
  <c r="I49" i="12"/>
  <c r="F49" i="12" s="1"/>
  <c r="H49" i="12" s="1"/>
  <c r="E49" i="12"/>
  <c r="I48" i="12"/>
  <c r="F48" i="12" s="1"/>
  <c r="H48" i="12" s="1"/>
  <c r="E48" i="12"/>
  <c r="J47" i="12"/>
  <c r="F47" i="12"/>
  <c r="H47" i="12" s="1"/>
  <c r="E47" i="12"/>
  <c r="J46" i="12"/>
  <c r="F46" i="12"/>
  <c r="H46" i="12" s="1"/>
  <c r="E46" i="12"/>
  <c r="J43" i="12"/>
  <c r="J38" i="12"/>
  <c r="F38" i="12"/>
  <c r="H38" i="12" s="1"/>
  <c r="E38" i="12"/>
  <c r="I37" i="12"/>
  <c r="F37" i="12" s="1"/>
  <c r="H37" i="12" s="1"/>
  <c r="E37" i="12"/>
  <c r="G37" i="12" s="1"/>
  <c r="J37" i="12" s="1"/>
  <c r="J36" i="12"/>
  <c r="F36" i="12"/>
  <c r="H36" i="12" s="1"/>
  <c r="E36" i="12"/>
  <c r="J35" i="12"/>
  <c r="F35" i="12"/>
  <c r="H35" i="12" s="1"/>
  <c r="E35" i="12"/>
  <c r="J34" i="12"/>
  <c r="F34" i="12"/>
  <c r="H34" i="12" s="1"/>
  <c r="E34" i="12"/>
  <c r="J33" i="12"/>
  <c r="F33" i="12"/>
  <c r="H33" i="12" s="1"/>
  <c r="E33" i="12"/>
  <c r="J32" i="12"/>
  <c r="F32" i="12"/>
  <c r="H32" i="12" s="1"/>
  <c r="E32" i="12"/>
  <c r="I31" i="12"/>
  <c r="F31" i="12" s="1"/>
  <c r="H31" i="12" s="1"/>
  <c r="G31" i="12"/>
  <c r="E31" i="12"/>
  <c r="J30" i="12"/>
  <c r="F30" i="12"/>
  <c r="H30" i="12" s="1"/>
  <c r="E30" i="12"/>
  <c r="J29" i="12"/>
  <c r="F29" i="12"/>
  <c r="H29" i="12" s="1"/>
  <c r="E29" i="12"/>
  <c r="F28" i="12"/>
  <c r="H28" i="12" s="1"/>
  <c r="E28" i="12"/>
  <c r="G28" i="12" s="1"/>
  <c r="J27" i="12"/>
  <c r="F27" i="12"/>
  <c r="H27" i="12" s="1"/>
  <c r="E27" i="12"/>
  <c r="J26" i="12"/>
  <c r="F26" i="12"/>
  <c r="H26" i="12" s="1"/>
  <c r="E26" i="12"/>
  <c r="J23" i="12"/>
  <c r="I21" i="12"/>
  <c r="D21" i="12"/>
  <c r="C21" i="12"/>
  <c r="B21" i="12"/>
  <c r="J20" i="12"/>
  <c r="F20" i="12"/>
  <c r="H20" i="12" s="1"/>
  <c r="E20" i="12"/>
  <c r="J19" i="12"/>
  <c r="F19" i="12"/>
  <c r="H19" i="12" s="1"/>
  <c r="E19" i="12"/>
  <c r="J18" i="12"/>
  <c r="F18" i="12"/>
  <c r="H18" i="12" s="1"/>
  <c r="E18" i="12"/>
  <c r="J17" i="12"/>
  <c r="F17" i="12"/>
  <c r="H17" i="12" s="1"/>
  <c r="E17" i="12"/>
  <c r="J16" i="12"/>
  <c r="F16" i="12"/>
  <c r="H16" i="12" s="1"/>
  <c r="E16" i="12"/>
  <c r="J15" i="12"/>
  <c r="F15" i="12"/>
  <c r="H15" i="12" s="1"/>
  <c r="E15" i="12"/>
  <c r="J14" i="12"/>
  <c r="F14" i="12"/>
  <c r="H14" i="12" s="1"/>
  <c r="E14" i="12"/>
  <c r="J13" i="12"/>
  <c r="F13" i="12"/>
  <c r="H13" i="12" s="1"/>
  <c r="E13" i="12"/>
  <c r="J12" i="12"/>
  <c r="F12" i="12"/>
  <c r="H12" i="12" s="1"/>
  <c r="E12" i="12"/>
  <c r="G11" i="12"/>
  <c r="J11" i="12" s="1"/>
  <c r="F11" i="12"/>
  <c r="H11" i="12" s="1"/>
  <c r="E11" i="12"/>
  <c r="J10" i="12"/>
  <c r="F10" i="12"/>
  <c r="H10" i="12" s="1"/>
  <c r="E10" i="12"/>
  <c r="J9" i="12"/>
  <c r="F9" i="12"/>
  <c r="E9" i="12"/>
  <c r="C75" i="25" l="1"/>
  <c r="K31" i="25"/>
  <c r="E75" i="27"/>
  <c r="F21" i="26"/>
  <c r="B75" i="27"/>
  <c r="F21" i="12"/>
  <c r="D75" i="12"/>
  <c r="G21" i="26"/>
  <c r="D75" i="26"/>
  <c r="E75" i="26"/>
  <c r="K31" i="27"/>
  <c r="J31" i="12"/>
  <c r="J48" i="12"/>
  <c r="J49" i="12"/>
  <c r="I9" i="26"/>
  <c r="I21" i="26" s="1"/>
  <c r="G49" i="26"/>
  <c r="I49" i="26" s="1"/>
  <c r="K37" i="26"/>
  <c r="H49" i="13"/>
  <c r="H73" i="13" s="1"/>
  <c r="H9" i="12"/>
  <c r="G21" i="25"/>
  <c r="G48" i="26"/>
  <c r="I48" i="26" s="1"/>
  <c r="G73" i="27"/>
  <c r="F75" i="28"/>
  <c r="H75" i="28"/>
  <c r="K21" i="28"/>
  <c r="K73" i="28"/>
  <c r="E75" i="13"/>
  <c r="F73" i="13"/>
  <c r="F75" i="13" s="1"/>
  <c r="G75" i="13"/>
  <c r="J21" i="13"/>
  <c r="C75" i="27"/>
  <c r="F21" i="27"/>
  <c r="H73" i="27"/>
  <c r="F73" i="27"/>
  <c r="C75" i="26"/>
  <c r="F73" i="26"/>
  <c r="F75" i="26" s="1"/>
  <c r="I73" i="27"/>
  <c r="I21" i="27"/>
  <c r="G21" i="27"/>
  <c r="G75" i="27" s="1"/>
  <c r="H21" i="27"/>
  <c r="K49" i="27"/>
  <c r="J73" i="27"/>
  <c r="K28" i="27"/>
  <c r="I73" i="26"/>
  <c r="K21" i="26"/>
  <c r="K28" i="26"/>
  <c r="H73" i="26"/>
  <c r="H75" i="26" s="1"/>
  <c r="J73" i="26"/>
  <c r="K11" i="26"/>
  <c r="E75" i="25"/>
  <c r="F73" i="25"/>
  <c r="F21" i="25"/>
  <c r="B75" i="25"/>
  <c r="H21" i="25"/>
  <c r="K11" i="25"/>
  <c r="H73" i="25"/>
  <c r="K28" i="25"/>
  <c r="G73" i="25"/>
  <c r="I48" i="25"/>
  <c r="I73" i="25" s="1"/>
  <c r="J73" i="25"/>
  <c r="D21" i="25"/>
  <c r="D75" i="25" s="1"/>
  <c r="I9" i="25"/>
  <c r="I21" i="25" s="1"/>
  <c r="K48" i="25"/>
  <c r="C75" i="12"/>
  <c r="E21" i="12"/>
  <c r="E73" i="12"/>
  <c r="B75" i="12"/>
  <c r="G73" i="12"/>
  <c r="J28" i="12"/>
  <c r="F73" i="12"/>
  <c r="F75" i="12" s="1"/>
  <c r="H21" i="12"/>
  <c r="G21" i="12"/>
  <c r="I73" i="12"/>
  <c r="H73" i="12"/>
  <c r="C29" i="24"/>
  <c r="F29" i="24" s="1"/>
  <c r="C27" i="24"/>
  <c r="C26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38" i="24"/>
  <c r="F37" i="24"/>
  <c r="F36" i="24"/>
  <c r="F35" i="24"/>
  <c r="F34" i="24"/>
  <c r="F33" i="24"/>
  <c r="F32" i="24"/>
  <c r="F31" i="24"/>
  <c r="F30" i="24"/>
  <c r="F28" i="24"/>
  <c r="F27" i="24"/>
  <c r="F26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G75" i="25" l="1"/>
  <c r="G73" i="26"/>
  <c r="G75" i="26" s="1"/>
  <c r="K73" i="25"/>
  <c r="F75" i="27"/>
  <c r="K73" i="27"/>
  <c r="H75" i="27"/>
  <c r="K21" i="27"/>
  <c r="K73" i="26"/>
  <c r="F75" i="25"/>
  <c r="H75" i="25"/>
  <c r="K21" i="25"/>
  <c r="E75" i="12"/>
  <c r="G75" i="12"/>
  <c r="J21" i="12"/>
  <c r="J73" i="12"/>
  <c r="E73" i="24"/>
  <c r="E21" i="24"/>
  <c r="D73" i="24"/>
  <c r="C73" i="24"/>
  <c r="B73" i="24"/>
  <c r="G72" i="24"/>
  <c r="I72" i="24" s="1"/>
  <c r="H72" i="24"/>
  <c r="K72" i="24" s="1"/>
  <c r="H71" i="24"/>
  <c r="K71" i="24" s="1"/>
  <c r="G71" i="24"/>
  <c r="I71" i="24" s="1"/>
  <c r="H70" i="24"/>
  <c r="K70" i="24" s="1"/>
  <c r="G70" i="24"/>
  <c r="I70" i="24" s="1"/>
  <c r="G69" i="24"/>
  <c r="I69" i="24" s="1"/>
  <c r="H69" i="24"/>
  <c r="K69" i="24" s="1"/>
  <c r="G68" i="24"/>
  <c r="I68" i="24" s="1"/>
  <c r="H68" i="24"/>
  <c r="K68" i="24" s="1"/>
  <c r="H67" i="24"/>
  <c r="K67" i="24" s="1"/>
  <c r="G67" i="24"/>
  <c r="I67" i="24" s="1"/>
  <c r="H66" i="24"/>
  <c r="K66" i="24" s="1"/>
  <c r="G66" i="24"/>
  <c r="I66" i="24" s="1"/>
  <c r="G65" i="24"/>
  <c r="I65" i="24" s="1"/>
  <c r="H65" i="24"/>
  <c r="K65" i="24" s="1"/>
  <c r="G64" i="24"/>
  <c r="I64" i="24" s="1"/>
  <c r="H64" i="24"/>
  <c r="K64" i="24" s="1"/>
  <c r="H63" i="24"/>
  <c r="K63" i="24" s="1"/>
  <c r="G63" i="24"/>
  <c r="I63" i="24" s="1"/>
  <c r="H62" i="24"/>
  <c r="K62" i="24" s="1"/>
  <c r="G62" i="24"/>
  <c r="I62" i="24" s="1"/>
  <c r="G61" i="24"/>
  <c r="I61" i="24" s="1"/>
  <c r="H61" i="24"/>
  <c r="K61" i="24" s="1"/>
  <c r="G60" i="24"/>
  <c r="I60" i="24" s="1"/>
  <c r="H60" i="24"/>
  <c r="K60" i="24" s="1"/>
  <c r="H59" i="24"/>
  <c r="K59" i="24" s="1"/>
  <c r="G59" i="24"/>
  <c r="I59" i="24" s="1"/>
  <c r="H58" i="24"/>
  <c r="K58" i="24" s="1"/>
  <c r="G58" i="24"/>
  <c r="I58" i="24" s="1"/>
  <c r="G57" i="24"/>
  <c r="I57" i="24" s="1"/>
  <c r="H57" i="24"/>
  <c r="K57" i="24" s="1"/>
  <c r="G56" i="24"/>
  <c r="I56" i="24" s="1"/>
  <c r="H56" i="24"/>
  <c r="K56" i="24" s="1"/>
  <c r="H55" i="24"/>
  <c r="K55" i="24" s="1"/>
  <c r="G55" i="24"/>
  <c r="I55" i="24" s="1"/>
  <c r="H54" i="24"/>
  <c r="K54" i="24" s="1"/>
  <c r="G54" i="24"/>
  <c r="I54" i="24" s="1"/>
  <c r="G53" i="24"/>
  <c r="I53" i="24" s="1"/>
  <c r="H53" i="24"/>
  <c r="K53" i="24" s="1"/>
  <c r="G52" i="24"/>
  <c r="I52" i="24" s="1"/>
  <c r="H52" i="24"/>
  <c r="K52" i="24" s="1"/>
  <c r="H51" i="24"/>
  <c r="K51" i="24" s="1"/>
  <c r="G51" i="24"/>
  <c r="I51" i="24" s="1"/>
  <c r="H50" i="24"/>
  <c r="K50" i="24" s="1"/>
  <c r="G50" i="24"/>
  <c r="I50" i="24" s="1"/>
  <c r="J49" i="24"/>
  <c r="H49" i="24"/>
  <c r="J48" i="24"/>
  <c r="G48" i="24" s="1"/>
  <c r="I48" i="24" s="1"/>
  <c r="H48" i="24"/>
  <c r="K48" i="24" s="1"/>
  <c r="I47" i="24"/>
  <c r="G47" i="24"/>
  <c r="H47" i="24"/>
  <c r="K47" i="24" s="1"/>
  <c r="G46" i="24"/>
  <c r="I46" i="24" s="1"/>
  <c r="H46" i="24"/>
  <c r="K46" i="24" s="1"/>
  <c r="K43" i="24"/>
  <c r="H38" i="24"/>
  <c r="K38" i="24" s="1"/>
  <c r="G38" i="24"/>
  <c r="I38" i="24" s="1"/>
  <c r="J37" i="24"/>
  <c r="G37" i="24" s="1"/>
  <c r="I37" i="24" s="1"/>
  <c r="H37" i="24"/>
  <c r="G36" i="24"/>
  <c r="I36" i="24" s="1"/>
  <c r="H36" i="24"/>
  <c r="K36" i="24" s="1"/>
  <c r="H35" i="24"/>
  <c r="K35" i="24" s="1"/>
  <c r="G35" i="24"/>
  <c r="I35" i="24" s="1"/>
  <c r="G34" i="24"/>
  <c r="I34" i="24" s="1"/>
  <c r="H34" i="24"/>
  <c r="K34" i="24" s="1"/>
  <c r="G33" i="24"/>
  <c r="I33" i="24" s="1"/>
  <c r="H33" i="24"/>
  <c r="K33" i="24" s="1"/>
  <c r="G32" i="24"/>
  <c r="I32" i="24" s="1"/>
  <c r="H32" i="24"/>
  <c r="K32" i="24" s="1"/>
  <c r="J31" i="24"/>
  <c r="G31" i="24" s="1"/>
  <c r="I31" i="24" s="1"/>
  <c r="H31" i="24"/>
  <c r="G30" i="24"/>
  <c r="I30" i="24" s="1"/>
  <c r="H30" i="24"/>
  <c r="K30" i="24" s="1"/>
  <c r="G29" i="24"/>
  <c r="I29" i="24" s="1"/>
  <c r="H29" i="24"/>
  <c r="K29" i="24" s="1"/>
  <c r="H28" i="24"/>
  <c r="K28" i="24" s="1"/>
  <c r="G28" i="24"/>
  <c r="I28" i="24" s="1"/>
  <c r="G27" i="24"/>
  <c r="I27" i="24" s="1"/>
  <c r="H27" i="24"/>
  <c r="K27" i="24" s="1"/>
  <c r="G26" i="24"/>
  <c r="I26" i="24" s="1"/>
  <c r="H26" i="24"/>
  <c r="K23" i="24"/>
  <c r="J21" i="24"/>
  <c r="D21" i="24"/>
  <c r="D75" i="24" s="1"/>
  <c r="C21" i="24"/>
  <c r="B21" i="24"/>
  <c r="G20" i="24"/>
  <c r="I20" i="24" s="1"/>
  <c r="H20" i="24"/>
  <c r="K20" i="24" s="1"/>
  <c r="G19" i="24"/>
  <c r="I19" i="24" s="1"/>
  <c r="H19" i="24"/>
  <c r="K19" i="24" s="1"/>
  <c r="H18" i="24"/>
  <c r="K18" i="24" s="1"/>
  <c r="G18" i="24"/>
  <c r="I18" i="24" s="1"/>
  <c r="H17" i="24"/>
  <c r="K17" i="24" s="1"/>
  <c r="G17" i="24"/>
  <c r="I17" i="24" s="1"/>
  <c r="G16" i="24"/>
  <c r="I16" i="24" s="1"/>
  <c r="H16" i="24"/>
  <c r="K16" i="24" s="1"/>
  <c r="G15" i="24"/>
  <c r="I15" i="24" s="1"/>
  <c r="H15" i="24"/>
  <c r="K15" i="24" s="1"/>
  <c r="H14" i="24"/>
  <c r="K14" i="24" s="1"/>
  <c r="G14" i="24"/>
  <c r="I14" i="24" s="1"/>
  <c r="H13" i="24"/>
  <c r="K13" i="24" s="1"/>
  <c r="G13" i="24"/>
  <c r="I13" i="24" s="1"/>
  <c r="G12" i="24"/>
  <c r="I12" i="24" s="1"/>
  <c r="H12" i="24"/>
  <c r="K12" i="24" s="1"/>
  <c r="G11" i="24"/>
  <c r="I11" i="24" s="1"/>
  <c r="H11" i="24"/>
  <c r="K11" i="24" s="1"/>
  <c r="H10" i="24"/>
  <c r="K10" i="24" s="1"/>
  <c r="G10" i="24"/>
  <c r="I10" i="24" s="1"/>
  <c r="G9" i="24"/>
  <c r="I9" i="24" s="1"/>
  <c r="K31" i="24" l="1"/>
  <c r="B75" i="24"/>
  <c r="K49" i="24"/>
  <c r="J73" i="24"/>
  <c r="I21" i="24"/>
  <c r="E75" i="24"/>
  <c r="G21" i="24"/>
  <c r="K37" i="24"/>
  <c r="C75" i="24"/>
  <c r="H73" i="24"/>
  <c r="K26" i="24"/>
  <c r="G49" i="24"/>
  <c r="I49" i="24" s="1"/>
  <c r="I73" i="24" s="1"/>
  <c r="F73" i="24"/>
  <c r="E9" i="11"/>
  <c r="D73" i="11"/>
  <c r="C73" i="11"/>
  <c r="B73" i="11"/>
  <c r="F72" i="11"/>
  <c r="H72" i="11" s="1"/>
  <c r="E72" i="11"/>
  <c r="G72" i="11" s="1"/>
  <c r="J72" i="11" s="1"/>
  <c r="F71" i="11"/>
  <c r="H71" i="11" s="1"/>
  <c r="E71" i="11"/>
  <c r="G71" i="11" s="1"/>
  <c r="J71" i="11" s="1"/>
  <c r="J70" i="11"/>
  <c r="F70" i="11"/>
  <c r="H70" i="11" s="1"/>
  <c r="E70" i="11"/>
  <c r="J69" i="11"/>
  <c r="F69" i="11"/>
  <c r="H69" i="11" s="1"/>
  <c r="E69" i="11"/>
  <c r="J68" i="11"/>
  <c r="F68" i="11"/>
  <c r="H68" i="11" s="1"/>
  <c r="E68" i="11"/>
  <c r="F67" i="11"/>
  <c r="H67" i="11" s="1"/>
  <c r="E67" i="11"/>
  <c r="J67" i="11" s="1"/>
  <c r="F66" i="11"/>
  <c r="H66" i="11" s="1"/>
  <c r="E66" i="11"/>
  <c r="G66" i="11" s="1"/>
  <c r="J66" i="11" s="1"/>
  <c r="J65" i="11"/>
  <c r="F65" i="11"/>
  <c r="H65" i="11" s="1"/>
  <c r="E65" i="11"/>
  <c r="F64" i="11"/>
  <c r="H64" i="11" s="1"/>
  <c r="E64" i="11"/>
  <c r="G64" i="11" s="1"/>
  <c r="J64" i="11" s="1"/>
  <c r="J63" i="11"/>
  <c r="F63" i="11"/>
  <c r="H63" i="11" s="1"/>
  <c r="E63" i="11"/>
  <c r="J62" i="11"/>
  <c r="F62" i="11"/>
  <c r="H62" i="11" s="1"/>
  <c r="E62" i="11"/>
  <c r="J61" i="11"/>
  <c r="F61" i="11"/>
  <c r="H61" i="11" s="1"/>
  <c r="E61" i="11"/>
  <c r="F60" i="11"/>
  <c r="H60" i="11" s="1"/>
  <c r="E60" i="11"/>
  <c r="J60" i="11" s="1"/>
  <c r="J59" i="11"/>
  <c r="F59" i="11"/>
  <c r="H59" i="11" s="1"/>
  <c r="E59" i="11"/>
  <c r="J58" i="11"/>
  <c r="F58" i="11"/>
  <c r="H58" i="11" s="1"/>
  <c r="E58" i="11"/>
  <c r="J57" i="11"/>
  <c r="F57" i="11"/>
  <c r="H57" i="11" s="1"/>
  <c r="E57" i="11"/>
  <c r="J56" i="11"/>
  <c r="F56" i="11"/>
  <c r="H56" i="11" s="1"/>
  <c r="E56" i="11"/>
  <c r="F55" i="11"/>
  <c r="H55" i="11" s="1"/>
  <c r="E55" i="11"/>
  <c r="J55" i="11" s="1"/>
  <c r="J54" i="11"/>
  <c r="F54" i="11"/>
  <c r="H54" i="11" s="1"/>
  <c r="E54" i="11"/>
  <c r="J53" i="11"/>
  <c r="F53" i="11"/>
  <c r="H53" i="11" s="1"/>
  <c r="E53" i="11"/>
  <c r="J52" i="11"/>
  <c r="F52" i="11"/>
  <c r="H52" i="11" s="1"/>
  <c r="E52" i="11"/>
  <c r="F51" i="11"/>
  <c r="H51" i="11" s="1"/>
  <c r="E51" i="11"/>
  <c r="J51" i="11" s="1"/>
  <c r="J50" i="11"/>
  <c r="F50" i="11"/>
  <c r="H50" i="11" s="1"/>
  <c r="E50" i="11"/>
  <c r="I49" i="11"/>
  <c r="J49" i="11" s="1"/>
  <c r="E49" i="11"/>
  <c r="I48" i="11"/>
  <c r="F48" i="11" s="1"/>
  <c r="H48" i="11" s="1"/>
  <c r="E48" i="11"/>
  <c r="J47" i="11"/>
  <c r="F47" i="11"/>
  <c r="H47" i="11" s="1"/>
  <c r="E47" i="11"/>
  <c r="J46" i="11"/>
  <c r="F46" i="11"/>
  <c r="H46" i="11" s="1"/>
  <c r="E46" i="11"/>
  <c r="J43" i="11"/>
  <c r="J38" i="11"/>
  <c r="F38" i="11"/>
  <c r="H38" i="11" s="1"/>
  <c r="E38" i="11"/>
  <c r="I37" i="11"/>
  <c r="F37" i="11" s="1"/>
  <c r="H37" i="11" s="1"/>
  <c r="E37" i="11"/>
  <c r="G37" i="11" s="1"/>
  <c r="J36" i="11"/>
  <c r="F36" i="11"/>
  <c r="H36" i="11" s="1"/>
  <c r="E36" i="11"/>
  <c r="J35" i="11"/>
  <c r="F35" i="11"/>
  <c r="H35" i="11" s="1"/>
  <c r="E35" i="11"/>
  <c r="J34" i="11"/>
  <c r="F34" i="11"/>
  <c r="H34" i="11" s="1"/>
  <c r="E34" i="11"/>
  <c r="J33" i="11"/>
  <c r="F33" i="11"/>
  <c r="H33" i="11" s="1"/>
  <c r="E33" i="11"/>
  <c r="F32" i="11"/>
  <c r="H32" i="11" s="1"/>
  <c r="E32" i="11"/>
  <c r="J32" i="11" s="1"/>
  <c r="I31" i="11"/>
  <c r="F31" i="11" s="1"/>
  <c r="H31" i="11" s="1"/>
  <c r="E31" i="11"/>
  <c r="G31" i="11" s="1"/>
  <c r="J31" i="11" s="1"/>
  <c r="F30" i="11"/>
  <c r="H30" i="11" s="1"/>
  <c r="E30" i="11"/>
  <c r="J30" i="11" s="1"/>
  <c r="J29" i="11"/>
  <c r="F29" i="11"/>
  <c r="H29" i="11" s="1"/>
  <c r="E29" i="11"/>
  <c r="F28" i="11"/>
  <c r="H28" i="11" s="1"/>
  <c r="E28" i="11"/>
  <c r="G28" i="11" s="1"/>
  <c r="J27" i="11"/>
  <c r="F27" i="11"/>
  <c r="H27" i="11" s="1"/>
  <c r="E27" i="11"/>
  <c r="J26" i="11"/>
  <c r="F26" i="11"/>
  <c r="H26" i="11" s="1"/>
  <c r="E26" i="11"/>
  <c r="J23" i="11"/>
  <c r="I21" i="11"/>
  <c r="C21" i="11"/>
  <c r="B21" i="11"/>
  <c r="J20" i="11"/>
  <c r="F20" i="11"/>
  <c r="H20" i="11" s="1"/>
  <c r="E20" i="11"/>
  <c r="J19" i="11"/>
  <c r="F19" i="11"/>
  <c r="H19" i="11" s="1"/>
  <c r="E19" i="11"/>
  <c r="J18" i="11"/>
  <c r="F18" i="11"/>
  <c r="H18" i="11" s="1"/>
  <c r="E18" i="11"/>
  <c r="J17" i="11"/>
  <c r="F17" i="11"/>
  <c r="H17" i="11" s="1"/>
  <c r="E17" i="11"/>
  <c r="J16" i="11"/>
  <c r="F16" i="11"/>
  <c r="H16" i="11" s="1"/>
  <c r="E16" i="11"/>
  <c r="J15" i="11"/>
  <c r="F15" i="11"/>
  <c r="H15" i="11" s="1"/>
  <c r="E15" i="11"/>
  <c r="J14" i="11"/>
  <c r="F14" i="11"/>
  <c r="H14" i="11" s="1"/>
  <c r="E14" i="11"/>
  <c r="J13" i="11"/>
  <c r="F13" i="11"/>
  <c r="H13" i="11" s="1"/>
  <c r="E13" i="11"/>
  <c r="J12" i="11"/>
  <c r="F12" i="11"/>
  <c r="H12" i="11" s="1"/>
  <c r="E12" i="11"/>
  <c r="F11" i="11"/>
  <c r="H11" i="11" s="1"/>
  <c r="E11" i="11"/>
  <c r="G11" i="11" s="1"/>
  <c r="J10" i="11"/>
  <c r="F10" i="11"/>
  <c r="H10" i="11" s="1"/>
  <c r="E10" i="11"/>
  <c r="J9" i="11"/>
  <c r="F9" i="11"/>
  <c r="H9" i="11" s="1"/>
  <c r="J37" i="11" l="1"/>
  <c r="K73" i="24"/>
  <c r="G73" i="24"/>
  <c r="G75" i="24" s="1"/>
  <c r="F21" i="11"/>
  <c r="F49" i="11"/>
  <c r="H49" i="11" s="1"/>
  <c r="H73" i="11" s="1"/>
  <c r="I73" i="11"/>
  <c r="C75" i="11"/>
  <c r="E21" i="11"/>
  <c r="B75" i="11"/>
  <c r="E73" i="11"/>
  <c r="G73" i="11"/>
  <c r="J73" i="11" s="1"/>
  <c r="J28" i="11"/>
  <c r="J11" i="11"/>
  <c r="G21" i="11"/>
  <c r="D21" i="11"/>
  <c r="D75" i="11" s="1"/>
  <c r="F73" i="11"/>
  <c r="F75" i="11" s="1"/>
  <c r="H21" i="11"/>
  <c r="J48" i="11"/>
  <c r="G12" i="10"/>
  <c r="D12" i="10"/>
  <c r="E75" i="11" l="1"/>
  <c r="G75" i="11"/>
  <c r="J21" i="11"/>
  <c r="D73" i="10"/>
  <c r="C73" i="10"/>
  <c r="B73" i="10"/>
  <c r="F72" i="10"/>
  <c r="H72" i="10" s="1"/>
  <c r="E72" i="10"/>
  <c r="G72" i="10" s="1"/>
  <c r="J72" i="10" s="1"/>
  <c r="F71" i="10"/>
  <c r="H71" i="10" s="1"/>
  <c r="E71" i="10"/>
  <c r="G71" i="10" s="1"/>
  <c r="J71" i="10" s="1"/>
  <c r="J70" i="10"/>
  <c r="F70" i="10"/>
  <c r="H70" i="10" s="1"/>
  <c r="E70" i="10"/>
  <c r="F69" i="10"/>
  <c r="H69" i="10" s="1"/>
  <c r="E69" i="10"/>
  <c r="J69" i="10" s="1"/>
  <c r="F68" i="10"/>
  <c r="H68" i="10" s="1"/>
  <c r="E68" i="10"/>
  <c r="G68" i="10" s="1"/>
  <c r="J68" i="10" s="1"/>
  <c r="F67" i="10"/>
  <c r="H67" i="10" s="1"/>
  <c r="E67" i="10"/>
  <c r="G67" i="10" s="1"/>
  <c r="J67" i="10" s="1"/>
  <c r="F66" i="10"/>
  <c r="H66" i="10" s="1"/>
  <c r="E66" i="10"/>
  <c r="G66" i="10" s="1"/>
  <c r="J66" i="10" s="1"/>
  <c r="F65" i="10"/>
  <c r="H65" i="10" s="1"/>
  <c r="E65" i="10"/>
  <c r="J65" i="10" s="1"/>
  <c r="F64" i="10"/>
  <c r="H64" i="10" s="1"/>
  <c r="E64" i="10"/>
  <c r="G64" i="10" s="1"/>
  <c r="J64" i="10" s="1"/>
  <c r="F63" i="10"/>
  <c r="H63" i="10" s="1"/>
  <c r="E63" i="10"/>
  <c r="J63" i="10" s="1"/>
  <c r="F62" i="10"/>
  <c r="H62" i="10" s="1"/>
  <c r="E62" i="10"/>
  <c r="J62" i="10" s="1"/>
  <c r="F61" i="10"/>
  <c r="H61" i="10" s="1"/>
  <c r="E61" i="10"/>
  <c r="J61" i="10" s="1"/>
  <c r="F60" i="10"/>
  <c r="H60" i="10" s="1"/>
  <c r="E60" i="10"/>
  <c r="G60" i="10" s="1"/>
  <c r="J60" i="10" s="1"/>
  <c r="F59" i="10"/>
  <c r="H59" i="10" s="1"/>
  <c r="E59" i="10"/>
  <c r="J59" i="10" s="1"/>
  <c r="F58" i="10"/>
  <c r="H58" i="10" s="1"/>
  <c r="E58" i="10"/>
  <c r="J58" i="10" s="1"/>
  <c r="F57" i="10"/>
  <c r="H57" i="10" s="1"/>
  <c r="E57" i="10"/>
  <c r="J57" i="10" s="1"/>
  <c r="F56" i="10"/>
  <c r="H56" i="10" s="1"/>
  <c r="E56" i="10"/>
  <c r="J56" i="10" s="1"/>
  <c r="F55" i="10"/>
  <c r="H55" i="10" s="1"/>
  <c r="E55" i="10"/>
  <c r="G55" i="10" s="1"/>
  <c r="J55" i="10" s="1"/>
  <c r="J54" i="10"/>
  <c r="F54" i="10"/>
  <c r="H54" i="10" s="1"/>
  <c r="E54" i="10"/>
  <c r="F53" i="10"/>
  <c r="H53" i="10" s="1"/>
  <c r="E53" i="10"/>
  <c r="J53" i="10" s="1"/>
  <c r="F52" i="10"/>
  <c r="H52" i="10" s="1"/>
  <c r="E52" i="10"/>
  <c r="J52" i="10" s="1"/>
  <c r="F51" i="10"/>
  <c r="H51" i="10" s="1"/>
  <c r="E51" i="10"/>
  <c r="G51" i="10" s="1"/>
  <c r="J51" i="10" s="1"/>
  <c r="J50" i="10"/>
  <c r="F50" i="10"/>
  <c r="H50" i="10" s="1"/>
  <c r="E50" i="10"/>
  <c r="I49" i="10"/>
  <c r="F49" i="10" s="1"/>
  <c r="H49" i="10" s="1"/>
  <c r="E49" i="10"/>
  <c r="I48" i="10"/>
  <c r="J48" i="10" s="1"/>
  <c r="F48" i="10"/>
  <c r="H48" i="10" s="1"/>
  <c r="E48" i="10"/>
  <c r="F47" i="10"/>
  <c r="H47" i="10" s="1"/>
  <c r="E47" i="10"/>
  <c r="J47" i="10" s="1"/>
  <c r="F46" i="10"/>
  <c r="H46" i="10" s="1"/>
  <c r="E46" i="10"/>
  <c r="J46" i="10" s="1"/>
  <c r="J43" i="10"/>
  <c r="F38" i="10"/>
  <c r="H38" i="10" s="1"/>
  <c r="E38" i="10"/>
  <c r="J38" i="10" s="1"/>
  <c r="I37" i="10"/>
  <c r="F37" i="10" s="1"/>
  <c r="H37" i="10" s="1"/>
  <c r="E37" i="10"/>
  <c r="G37" i="10" s="1"/>
  <c r="J36" i="10"/>
  <c r="F36" i="10"/>
  <c r="H36" i="10" s="1"/>
  <c r="E36" i="10"/>
  <c r="F35" i="10"/>
  <c r="H35" i="10" s="1"/>
  <c r="E35" i="10"/>
  <c r="J35" i="10" s="1"/>
  <c r="F34" i="10"/>
  <c r="H34" i="10" s="1"/>
  <c r="E34" i="10"/>
  <c r="J34" i="10" s="1"/>
  <c r="F33" i="10"/>
  <c r="H33" i="10" s="1"/>
  <c r="E33" i="10"/>
  <c r="G33" i="10" s="1"/>
  <c r="J33" i="10" s="1"/>
  <c r="G32" i="10"/>
  <c r="J32" i="10" s="1"/>
  <c r="F32" i="10"/>
  <c r="H32" i="10" s="1"/>
  <c r="E32" i="10"/>
  <c r="I31" i="10"/>
  <c r="F31" i="10" s="1"/>
  <c r="H31" i="10" s="1"/>
  <c r="E31" i="10"/>
  <c r="G31" i="10" s="1"/>
  <c r="F30" i="10"/>
  <c r="H30" i="10" s="1"/>
  <c r="E30" i="10"/>
  <c r="G30" i="10" s="1"/>
  <c r="J30" i="10" s="1"/>
  <c r="F29" i="10"/>
  <c r="H29" i="10" s="1"/>
  <c r="E29" i="10"/>
  <c r="J29" i="10" s="1"/>
  <c r="F28" i="10"/>
  <c r="H28" i="10" s="1"/>
  <c r="E28" i="10"/>
  <c r="G28" i="10" s="1"/>
  <c r="J28" i="10" s="1"/>
  <c r="F27" i="10"/>
  <c r="H27" i="10" s="1"/>
  <c r="E27" i="10"/>
  <c r="J27" i="10" s="1"/>
  <c r="F26" i="10"/>
  <c r="H26" i="10" s="1"/>
  <c r="E26" i="10"/>
  <c r="J23" i="10"/>
  <c r="I21" i="10"/>
  <c r="D21" i="10"/>
  <c r="C21" i="10"/>
  <c r="B21" i="10"/>
  <c r="F20" i="10"/>
  <c r="H20" i="10" s="1"/>
  <c r="E20" i="10"/>
  <c r="J20" i="10" s="1"/>
  <c r="F19" i="10"/>
  <c r="H19" i="10" s="1"/>
  <c r="E19" i="10"/>
  <c r="J19" i="10" s="1"/>
  <c r="F18" i="10"/>
  <c r="H18" i="10" s="1"/>
  <c r="E18" i="10"/>
  <c r="J18" i="10" s="1"/>
  <c r="F17" i="10"/>
  <c r="H17" i="10" s="1"/>
  <c r="E17" i="10"/>
  <c r="J17" i="10" s="1"/>
  <c r="F16" i="10"/>
  <c r="H16" i="10" s="1"/>
  <c r="E16" i="10"/>
  <c r="J16" i="10" s="1"/>
  <c r="F15" i="10"/>
  <c r="H15" i="10" s="1"/>
  <c r="E15" i="10"/>
  <c r="J15" i="10" s="1"/>
  <c r="F14" i="10"/>
  <c r="H14" i="10" s="1"/>
  <c r="E14" i="10"/>
  <c r="J14" i="10" s="1"/>
  <c r="J13" i="10"/>
  <c r="F13" i="10"/>
  <c r="H13" i="10" s="1"/>
  <c r="E13" i="10"/>
  <c r="F12" i="10"/>
  <c r="H12" i="10" s="1"/>
  <c r="E12" i="10"/>
  <c r="J12" i="10" s="1"/>
  <c r="F11" i="10"/>
  <c r="H11" i="10" s="1"/>
  <c r="E11" i="10"/>
  <c r="G11" i="10" s="1"/>
  <c r="J11" i="10" s="1"/>
  <c r="J10" i="10"/>
  <c r="F10" i="10"/>
  <c r="H10" i="10" s="1"/>
  <c r="E10" i="10"/>
  <c r="F9" i="10"/>
  <c r="E9" i="10"/>
  <c r="J49" i="10" l="1"/>
  <c r="F21" i="10"/>
  <c r="J31" i="10"/>
  <c r="H9" i="10"/>
  <c r="H21" i="10" s="1"/>
  <c r="J37" i="10"/>
  <c r="D75" i="10"/>
  <c r="C75" i="10"/>
  <c r="B75" i="10"/>
  <c r="E73" i="10"/>
  <c r="G21" i="10"/>
  <c r="H73" i="10"/>
  <c r="I73" i="10"/>
  <c r="E21" i="10"/>
  <c r="F73" i="10"/>
  <c r="F75" i="10" s="1"/>
  <c r="J9" i="10"/>
  <c r="J43" i="9"/>
  <c r="J23" i="9"/>
  <c r="E38" i="9"/>
  <c r="E75" i="10" l="1"/>
  <c r="G73" i="10"/>
  <c r="J73" i="10" s="1"/>
  <c r="J26" i="10"/>
  <c r="J21" i="10"/>
  <c r="G75" i="10" l="1"/>
  <c r="D10" i="23" l="1"/>
  <c r="E10" i="23" s="1"/>
  <c r="D9" i="23"/>
  <c r="D8" i="23"/>
  <c r="E8" i="23" s="1"/>
  <c r="D7" i="23"/>
  <c r="E7" i="23" s="1"/>
  <c r="D6" i="23"/>
  <c r="E6" i="23" s="1"/>
  <c r="D5" i="23"/>
  <c r="D4" i="23"/>
  <c r="C11" i="23"/>
  <c r="B11" i="23"/>
  <c r="E11" i="23" l="1"/>
  <c r="D11" i="23"/>
  <c r="E13" i="23" l="1"/>
  <c r="F11" i="9" l="1"/>
  <c r="D21" i="9" l="1"/>
  <c r="F58" i="9"/>
  <c r="H58" i="9" s="1"/>
  <c r="F60" i="9"/>
  <c r="H60" i="9" s="1"/>
  <c r="F59" i="9"/>
  <c r="H59" i="9" s="1"/>
  <c r="I49" i="9"/>
  <c r="F49" i="9" s="1"/>
  <c r="H49" i="9" s="1"/>
  <c r="I48" i="9"/>
  <c r="F48" i="9" s="1"/>
  <c r="H48" i="9" s="1"/>
  <c r="F46" i="9"/>
  <c r="H46" i="9" s="1"/>
  <c r="F38" i="9"/>
  <c r="H38" i="9" s="1"/>
  <c r="I37" i="9"/>
  <c r="F37" i="9" s="1"/>
  <c r="H37" i="9" s="1"/>
  <c r="F34" i="9"/>
  <c r="H34" i="9" s="1"/>
  <c r="I31" i="9"/>
  <c r="F31" i="9" s="1"/>
  <c r="H31" i="9" s="1"/>
  <c r="F30" i="9"/>
  <c r="H30" i="9" s="1"/>
  <c r="F29" i="9"/>
  <c r="H29" i="9" s="1"/>
  <c r="F28" i="9"/>
  <c r="H28" i="9" s="1"/>
  <c r="F26" i="9"/>
  <c r="H26" i="9" s="1"/>
  <c r="H11" i="9"/>
  <c r="D73" i="9"/>
  <c r="C73" i="9"/>
  <c r="B73" i="9"/>
  <c r="F72" i="9"/>
  <c r="H72" i="9" s="1"/>
  <c r="E72" i="9"/>
  <c r="G72" i="9" s="1"/>
  <c r="J72" i="9" s="1"/>
  <c r="F71" i="9"/>
  <c r="H71" i="9" s="1"/>
  <c r="E71" i="9"/>
  <c r="G71" i="9" s="1"/>
  <c r="J71" i="9" s="1"/>
  <c r="F70" i="9"/>
  <c r="H70" i="9" s="1"/>
  <c r="E70" i="9"/>
  <c r="G70" i="9" s="1"/>
  <c r="J70" i="9" s="1"/>
  <c r="F69" i="9"/>
  <c r="H69" i="9" s="1"/>
  <c r="E69" i="9"/>
  <c r="G69" i="9" s="1"/>
  <c r="J69" i="9" s="1"/>
  <c r="F68" i="9"/>
  <c r="H68" i="9" s="1"/>
  <c r="E68" i="9"/>
  <c r="G68" i="9" s="1"/>
  <c r="J68" i="9" s="1"/>
  <c r="F67" i="9"/>
  <c r="H67" i="9" s="1"/>
  <c r="E67" i="9"/>
  <c r="G67" i="9" s="1"/>
  <c r="J67" i="9" s="1"/>
  <c r="F66" i="9"/>
  <c r="H66" i="9" s="1"/>
  <c r="E66" i="9"/>
  <c r="G66" i="9" s="1"/>
  <c r="J66" i="9" s="1"/>
  <c r="F65" i="9"/>
  <c r="H65" i="9" s="1"/>
  <c r="E65" i="9"/>
  <c r="G65" i="9" s="1"/>
  <c r="J65" i="9" s="1"/>
  <c r="F64" i="9"/>
  <c r="H64" i="9" s="1"/>
  <c r="E64" i="9"/>
  <c r="G64" i="9" s="1"/>
  <c r="J64" i="9" s="1"/>
  <c r="F63" i="9"/>
  <c r="H63" i="9" s="1"/>
  <c r="E63" i="9"/>
  <c r="G63" i="9" s="1"/>
  <c r="J63" i="9" s="1"/>
  <c r="F62" i="9"/>
  <c r="H62" i="9" s="1"/>
  <c r="E62" i="9"/>
  <c r="G62" i="9" s="1"/>
  <c r="J62" i="9" s="1"/>
  <c r="F61" i="9"/>
  <c r="H61" i="9" s="1"/>
  <c r="E61" i="9"/>
  <c r="G61" i="9" s="1"/>
  <c r="J61" i="9" s="1"/>
  <c r="E60" i="9"/>
  <c r="G60" i="9" s="1"/>
  <c r="J60" i="9" s="1"/>
  <c r="E59" i="9"/>
  <c r="G59" i="9" s="1"/>
  <c r="J59" i="9" s="1"/>
  <c r="E58" i="9"/>
  <c r="G58" i="9" s="1"/>
  <c r="J58" i="9" s="1"/>
  <c r="F57" i="9"/>
  <c r="H57" i="9" s="1"/>
  <c r="E57" i="9"/>
  <c r="G57" i="9" s="1"/>
  <c r="J57" i="9" s="1"/>
  <c r="F56" i="9"/>
  <c r="H56" i="9" s="1"/>
  <c r="E56" i="9"/>
  <c r="G56" i="9" s="1"/>
  <c r="J56" i="9" s="1"/>
  <c r="F55" i="9"/>
  <c r="H55" i="9" s="1"/>
  <c r="E55" i="9"/>
  <c r="G55" i="9" s="1"/>
  <c r="J55" i="9" s="1"/>
  <c r="F54" i="9"/>
  <c r="H54" i="9" s="1"/>
  <c r="E54" i="9"/>
  <c r="G54" i="9" s="1"/>
  <c r="J54" i="9" s="1"/>
  <c r="F53" i="9"/>
  <c r="H53" i="9" s="1"/>
  <c r="E53" i="9"/>
  <c r="G53" i="9" s="1"/>
  <c r="J53" i="9" s="1"/>
  <c r="F52" i="9"/>
  <c r="H52" i="9" s="1"/>
  <c r="E52" i="9"/>
  <c r="G52" i="9" s="1"/>
  <c r="J52" i="9" s="1"/>
  <c r="F51" i="9"/>
  <c r="H51" i="9" s="1"/>
  <c r="E51" i="9"/>
  <c r="G51" i="9" s="1"/>
  <c r="J51" i="9" s="1"/>
  <c r="F50" i="9"/>
  <c r="H50" i="9" s="1"/>
  <c r="E50" i="9"/>
  <c r="G50" i="9" s="1"/>
  <c r="J50" i="9" s="1"/>
  <c r="E49" i="9"/>
  <c r="G49" i="9" s="1"/>
  <c r="E48" i="9"/>
  <c r="G48" i="9" s="1"/>
  <c r="E47" i="9"/>
  <c r="G47" i="9" s="1"/>
  <c r="J47" i="9" s="1"/>
  <c r="E46" i="9"/>
  <c r="G46" i="9" s="1"/>
  <c r="J46" i="9" s="1"/>
  <c r="G38" i="9"/>
  <c r="J38" i="9" s="1"/>
  <c r="E37" i="9"/>
  <c r="G37" i="9" s="1"/>
  <c r="F36" i="9"/>
  <c r="H36" i="9" s="1"/>
  <c r="E36" i="9"/>
  <c r="G36" i="9" s="1"/>
  <c r="J36" i="9" s="1"/>
  <c r="F35" i="9"/>
  <c r="H35" i="9" s="1"/>
  <c r="E35" i="9"/>
  <c r="G35" i="9" s="1"/>
  <c r="J35" i="9" s="1"/>
  <c r="E34" i="9"/>
  <c r="G34" i="9" s="1"/>
  <c r="J34" i="9" s="1"/>
  <c r="F33" i="9"/>
  <c r="H33" i="9" s="1"/>
  <c r="E33" i="9"/>
  <c r="G33" i="9" s="1"/>
  <c r="J33" i="9" s="1"/>
  <c r="F32" i="9"/>
  <c r="H32" i="9" s="1"/>
  <c r="E32" i="9"/>
  <c r="G32" i="9" s="1"/>
  <c r="J32" i="9" s="1"/>
  <c r="E31" i="9"/>
  <c r="G31" i="9" s="1"/>
  <c r="E30" i="9"/>
  <c r="G30" i="9" s="1"/>
  <c r="J30" i="9" s="1"/>
  <c r="E29" i="9"/>
  <c r="G29" i="9" s="1"/>
  <c r="J29" i="9" s="1"/>
  <c r="E28" i="9"/>
  <c r="G28" i="9" s="1"/>
  <c r="J28" i="9" s="1"/>
  <c r="F27" i="9"/>
  <c r="H27" i="9" s="1"/>
  <c r="E27" i="9"/>
  <c r="G27" i="9" s="1"/>
  <c r="J27" i="9" s="1"/>
  <c r="E26" i="9"/>
  <c r="G26" i="9" s="1"/>
  <c r="J26" i="9" s="1"/>
  <c r="I21" i="9"/>
  <c r="C21" i="9"/>
  <c r="B21" i="9"/>
  <c r="F20" i="9"/>
  <c r="H20" i="9" s="1"/>
  <c r="E20" i="9"/>
  <c r="G20" i="9" s="1"/>
  <c r="J20" i="9" s="1"/>
  <c r="F19" i="9"/>
  <c r="H19" i="9" s="1"/>
  <c r="E19" i="9"/>
  <c r="G19" i="9" s="1"/>
  <c r="J19" i="9" s="1"/>
  <c r="F18" i="9"/>
  <c r="H18" i="9" s="1"/>
  <c r="E18" i="9"/>
  <c r="G18" i="9" s="1"/>
  <c r="J18" i="9" s="1"/>
  <c r="F17" i="9"/>
  <c r="H17" i="9" s="1"/>
  <c r="E17" i="9"/>
  <c r="G17" i="9" s="1"/>
  <c r="J17" i="9" s="1"/>
  <c r="F16" i="9"/>
  <c r="H16" i="9" s="1"/>
  <c r="E16" i="9"/>
  <c r="G16" i="9" s="1"/>
  <c r="J16" i="9" s="1"/>
  <c r="F15" i="9"/>
  <c r="H15" i="9" s="1"/>
  <c r="E15" i="9"/>
  <c r="G15" i="9" s="1"/>
  <c r="J15" i="9" s="1"/>
  <c r="F14" i="9"/>
  <c r="H14" i="9" s="1"/>
  <c r="E14" i="9"/>
  <c r="G14" i="9" s="1"/>
  <c r="J14" i="9" s="1"/>
  <c r="F13" i="9"/>
  <c r="H13" i="9" s="1"/>
  <c r="E13" i="9"/>
  <c r="G13" i="9" s="1"/>
  <c r="J13" i="9" s="1"/>
  <c r="F12" i="9"/>
  <c r="H12" i="9" s="1"/>
  <c r="E11" i="9"/>
  <c r="G11" i="9" s="1"/>
  <c r="J11" i="9" s="1"/>
  <c r="F10" i="9"/>
  <c r="H10" i="9" s="1"/>
  <c r="E10" i="9"/>
  <c r="G10" i="9" s="1"/>
  <c r="J10" i="9" s="1"/>
  <c r="F9" i="9"/>
  <c r="H9" i="9" s="1"/>
  <c r="E9" i="9"/>
  <c r="G9" i="9" s="1"/>
  <c r="J9" i="9" s="1"/>
  <c r="G9" i="8"/>
  <c r="G18" i="8" s="1"/>
  <c r="D9" i="8"/>
  <c r="E9" i="8" s="1"/>
  <c r="H8" i="8"/>
  <c r="E11" i="8"/>
  <c r="I75" i="8"/>
  <c r="D75" i="8"/>
  <c r="C75" i="8"/>
  <c r="B75" i="8"/>
  <c r="F74" i="8"/>
  <c r="H74" i="8" s="1"/>
  <c r="E74" i="8"/>
  <c r="G74" i="8" s="1"/>
  <c r="F73" i="8"/>
  <c r="H73" i="8" s="1"/>
  <c r="E73" i="8"/>
  <c r="F72" i="8"/>
  <c r="H72" i="8" s="1"/>
  <c r="E72" i="8"/>
  <c r="F71" i="8"/>
  <c r="H71" i="8" s="1"/>
  <c r="E71" i="8"/>
  <c r="F70" i="8"/>
  <c r="H70" i="8" s="1"/>
  <c r="E70" i="8"/>
  <c r="G70" i="8" s="1"/>
  <c r="F69" i="8"/>
  <c r="H69" i="8" s="1"/>
  <c r="E69" i="8"/>
  <c r="F68" i="8"/>
  <c r="H68" i="8" s="1"/>
  <c r="E68" i="8"/>
  <c r="F67" i="8"/>
  <c r="H67" i="8" s="1"/>
  <c r="E67" i="8"/>
  <c r="F66" i="8"/>
  <c r="H66" i="8" s="1"/>
  <c r="E66" i="8"/>
  <c r="F65" i="8"/>
  <c r="H65" i="8" s="1"/>
  <c r="E65" i="8"/>
  <c r="F64" i="8"/>
  <c r="H64" i="8" s="1"/>
  <c r="E64" i="8"/>
  <c r="F63" i="8"/>
  <c r="H63" i="8" s="1"/>
  <c r="E63" i="8"/>
  <c r="F62" i="8"/>
  <c r="H62" i="8" s="1"/>
  <c r="E62" i="8"/>
  <c r="F61" i="8"/>
  <c r="H61" i="8" s="1"/>
  <c r="E61" i="8"/>
  <c r="F60" i="8"/>
  <c r="H60" i="8" s="1"/>
  <c r="E60" i="8"/>
  <c r="F59" i="8"/>
  <c r="H59" i="8" s="1"/>
  <c r="E59" i="8"/>
  <c r="F58" i="8"/>
  <c r="H58" i="8" s="1"/>
  <c r="E58" i="8"/>
  <c r="F57" i="8"/>
  <c r="H57" i="8" s="1"/>
  <c r="E57" i="8"/>
  <c r="F56" i="8"/>
  <c r="H56" i="8" s="1"/>
  <c r="E56" i="8"/>
  <c r="F55" i="8"/>
  <c r="H55" i="8" s="1"/>
  <c r="E55" i="8"/>
  <c r="F54" i="8"/>
  <c r="H54" i="8" s="1"/>
  <c r="E54" i="8"/>
  <c r="F53" i="8"/>
  <c r="H53" i="8" s="1"/>
  <c r="E53" i="8"/>
  <c r="F52" i="8"/>
  <c r="H52" i="8" s="1"/>
  <c r="E52" i="8"/>
  <c r="F51" i="8"/>
  <c r="H51" i="8" s="1"/>
  <c r="E51" i="8"/>
  <c r="G51" i="8" s="1"/>
  <c r="F50" i="8"/>
  <c r="H50" i="8" s="1"/>
  <c r="E50" i="8"/>
  <c r="F49" i="8"/>
  <c r="H49" i="8" s="1"/>
  <c r="E49" i="8"/>
  <c r="F48" i="8"/>
  <c r="H48" i="8" s="1"/>
  <c r="E48" i="8"/>
  <c r="F47" i="8"/>
  <c r="H47" i="8" s="1"/>
  <c r="E47" i="8"/>
  <c r="F35" i="8"/>
  <c r="H35" i="8" s="1"/>
  <c r="E35" i="8"/>
  <c r="F34" i="8"/>
  <c r="H34" i="8" s="1"/>
  <c r="E34" i="8"/>
  <c r="F33" i="8"/>
  <c r="H33" i="8" s="1"/>
  <c r="E33" i="8"/>
  <c r="F32" i="8"/>
  <c r="H32" i="8" s="1"/>
  <c r="E32" i="8"/>
  <c r="F31" i="8"/>
  <c r="H31" i="8" s="1"/>
  <c r="E31" i="8"/>
  <c r="F30" i="8"/>
  <c r="H30" i="8" s="1"/>
  <c r="E30" i="8"/>
  <c r="F29" i="8"/>
  <c r="H29" i="8" s="1"/>
  <c r="E29" i="8"/>
  <c r="F28" i="8"/>
  <c r="H28" i="8" s="1"/>
  <c r="E28" i="8"/>
  <c r="G28" i="8" s="1"/>
  <c r="F27" i="8"/>
  <c r="H27" i="8" s="1"/>
  <c r="E27" i="8"/>
  <c r="F26" i="8"/>
  <c r="H26" i="8" s="1"/>
  <c r="E26" i="8"/>
  <c r="F25" i="8"/>
  <c r="H25" i="8" s="1"/>
  <c r="E25" i="8"/>
  <c r="G25" i="8" s="1"/>
  <c r="F24" i="8"/>
  <c r="H24" i="8" s="1"/>
  <c r="E24" i="8"/>
  <c r="F23" i="8"/>
  <c r="H23" i="8" s="1"/>
  <c r="E23" i="8"/>
  <c r="I18" i="8"/>
  <c r="C18" i="8"/>
  <c r="B18" i="8"/>
  <c r="F17" i="8"/>
  <c r="H17" i="8" s="1"/>
  <c r="E17" i="8"/>
  <c r="F16" i="8"/>
  <c r="H16" i="8" s="1"/>
  <c r="E16" i="8"/>
  <c r="F15" i="8"/>
  <c r="H15" i="8" s="1"/>
  <c r="E15" i="8"/>
  <c r="F14" i="8"/>
  <c r="H14" i="8" s="1"/>
  <c r="E14" i="8"/>
  <c r="F13" i="8"/>
  <c r="H13" i="8" s="1"/>
  <c r="E13" i="8"/>
  <c r="F12" i="8"/>
  <c r="H12" i="8" s="1"/>
  <c r="E12" i="8"/>
  <c r="F11" i="8"/>
  <c r="H11" i="8" s="1"/>
  <c r="F10" i="8"/>
  <c r="H10" i="8" s="1"/>
  <c r="E10" i="8"/>
  <c r="F9" i="8"/>
  <c r="H9" i="8" s="1"/>
  <c r="E8" i="8"/>
  <c r="F7" i="8"/>
  <c r="H7" i="8" s="1"/>
  <c r="E7" i="8"/>
  <c r="F6" i="8"/>
  <c r="H6" i="8" s="1"/>
  <c r="E6" i="8"/>
  <c r="G7" i="2"/>
  <c r="D7" i="2"/>
  <c r="E7" i="2" s="1"/>
  <c r="E15" i="2"/>
  <c r="E14" i="2"/>
  <c r="E13" i="2"/>
  <c r="E12" i="2"/>
  <c r="E11" i="2"/>
  <c r="E10" i="2"/>
  <c r="E9" i="2"/>
  <c r="E8" i="2"/>
  <c r="E6" i="2"/>
  <c r="E5" i="2"/>
  <c r="E4" i="2"/>
  <c r="F21" i="2"/>
  <c r="H21" i="2" s="1"/>
  <c r="E68" i="2"/>
  <c r="C70" i="2"/>
  <c r="B70" i="2"/>
  <c r="F44" i="2"/>
  <c r="H44" i="2" s="1"/>
  <c r="E44" i="2"/>
  <c r="F43" i="2"/>
  <c r="H43" i="2" s="1"/>
  <c r="E43" i="2"/>
  <c r="F42" i="2"/>
  <c r="H42" i="2" s="1"/>
  <c r="E42" i="2"/>
  <c r="E33" i="2"/>
  <c r="E31" i="2"/>
  <c r="E30" i="2"/>
  <c r="E29" i="2"/>
  <c r="E28" i="2"/>
  <c r="E27" i="2"/>
  <c r="E26" i="2"/>
  <c r="E25" i="2"/>
  <c r="E24" i="2"/>
  <c r="E23" i="2"/>
  <c r="E22" i="2"/>
  <c r="F69" i="2"/>
  <c r="H69" i="2" s="1"/>
  <c r="I70" i="2"/>
  <c r="F68" i="2"/>
  <c r="H68" i="2" s="1"/>
  <c r="F67" i="2"/>
  <c r="H67" i="2" s="1"/>
  <c r="E67" i="2"/>
  <c r="F66" i="2"/>
  <c r="H66" i="2" s="1"/>
  <c r="E66" i="2"/>
  <c r="G65" i="2"/>
  <c r="F65" i="2"/>
  <c r="H65" i="2" s="1"/>
  <c r="E65" i="2"/>
  <c r="F64" i="2"/>
  <c r="H64" i="2" s="1"/>
  <c r="E64" i="2"/>
  <c r="F63" i="2"/>
  <c r="H63" i="2" s="1"/>
  <c r="E63" i="2"/>
  <c r="F62" i="2"/>
  <c r="H62" i="2" s="1"/>
  <c r="E62" i="2"/>
  <c r="F61" i="2"/>
  <c r="H61" i="2" s="1"/>
  <c r="E61" i="2"/>
  <c r="F60" i="2"/>
  <c r="H60" i="2" s="1"/>
  <c r="E60" i="2"/>
  <c r="F59" i="2"/>
  <c r="H59" i="2" s="1"/>
  <c r="E59" i="2"/>
  <c r="F58" i="2"/>
  <c r="H58" i="2" s="1"/>
  <c r="E58" i="2"/>
  <c r="F57" i="2"/>
  <c r="H57" i="2" s="1"/>
  <c r="E57" i="2"/>
  <c r="F56" i="2"/>
  <c r="H56" i="2" s="1"/>
  <c r="E56" i="2"/>
  <c r="F55" i="2"/>
  <c r="H55" i="2" s="1"/>
  <c r="E55" i="2"/>
  <c r="F54" i="2"/>
  <c r="H54" i="2" s="1"/>
  <c r="E54" i="2"/>
  <c r="F53" i="2"/>
  <c r="H53" i="2" s="1"/>
  <c r="E53" i="2"/>
  <c r="F52" i="2"/>
  <c r="H52" i="2" s="1"/>
  <c r="E52" i="2"/>
  <c r="F51" i="2"/>
  <c r="H51" i="2" s="1"/>
  <c r="E51" i="2"/>
  <c r="F50" i="2"/>
  <c r="H50" i="2" s="1"/>
  <c r="E50" i="2"/>
  <c r="F49" i="2"/>
  <c r="H49" i="2" s="1"/>
  <c r="E49" i="2"/>
  <c r="F48" i="2"/>
  <c r="H48" i="2" s="1"/>
  <c r="E48" i="2"/>
  <c r="F47" i="2"/>
  <c r="H47" i="2" s="1"/>
  <c r="E47" i="2"/>
  <c r="G46" i="2"/>
  <c r="F46" i="2"/>
  <c r="H46" i="2" s="1"/>
  <c r="E46" i="2"/>
  <c r="F45" i="2"/>
  <c r="H45" i="2" s="1"/>
  <c r="E45" i="2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I16" i="2"/>
  <c r="C16" i="2"/>
  <c r="B16" i="2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5" i="2"/>
  <c r="H5" i="2" s="1"/>
  <c r="F4" i="2"/>
  <c r="H4" i="2" s="1"/>
  <c r="G7" i="1"/>
  <c r="H35" i="1"/>
  <c r="H6" i="1"/>
  <c r="D7" i="1"/>
  <c r="D16" i="1" s="1"/>
  <c r="F42" i="1"/>
  <c r="H42" i="1" s="1"/>
  <c r="E42" i="1"/>
  <c r="E8" i="1"/>
  <c r="E7" i="1"/>
  <c r="E35" i="1"/>
  <c r="G63" i="1"/>
  <c r="G60" i="1"/>
  <c r="G44" i="1"/>
  <c r="G43" i="1"/>
  <c r="G32" i="1"/>
  <c r="G26" i="1"/>
  <c r="G23" i="1"/>
  <c r="C16" i="1"/>
  <c r="I36" i="1"/>
  <c r="I34" i="1"/>
  <c r="I30" i="1"/>
  <c r="I24" i="1"/>
  <c r="I22" i="1"/>
  <c r="I68" i="1" s="1"/>
  <c r="I21" i="1"/>
  <c r="E62" i="1"/>
  <c r="E23" i="1"/>
  <c r="E27" i="1"/>
  <c r="E28" i="1"/>
  <c r="E45" i="1"/>
  <c r="E49" i="1"/>
  <c r="E61" i="1"/>
  <c r="E66" i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6" i="1"/>
  <c r="H46" i="1" s="1"/>
  <c r="F45" i="1"/>
  <c r="H45" i="1" s="1"/>
  <c r="F44" i="1"/>
  <c r="H44" i="1" s="1"/>
  <c r="F43" i="1"/>
  <c r="H43" i="1" s="1"/>
  <c r="F37" i="1"/>
  <c r="H37" i="1" s="1"/>
  <c r="F33" i="1"/>
  <c r="H33" i="1" s="1"/>
  <c r="F32" i="1"/>
  <c r="H32" i="1" s="1"/>
  <c r="F31" i="1"/>
  <c r="H31" i="1" s="1"/>
  <c r="F29" i="1"/>
  <c r="H29" i="1" s="1"/>
  <c r="F28" i="1"/>
  <c r="H28" i="1" s="1"/>
  <c r="F27" i="1"/>
  <c r="H27" i="1" s="1"/>
  <c r="F26" i="1"/>
  <c r="H26" i="1" s="1"/>
  <c r="F25" i="1"/>
  <c r="H25" i="1" s="1"/>
  <c r="F23" i="1"/>
  <c r="H23" i="1" s="1"/>
  <c r="F47" i="1"/>
  <c r="H47" i="1" s="1"/>
  <c r="F36" i="1"/>
  <c r="H36" i="1" s="1"/>
  <c r="F34" i="1"/>
  <c r="H34" i="1" s="1"/>
  <c r="F30" i="1"/>
  <c r="H30" i="1" s="1"/>
  <c r="F24" i="1"/>
  <c r="H24" i="1" s="1"/>
  <c r="F22" i="1"/>
  <c r="H22" i="1" s="1"/>
  <c r="F21" i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5" i="1"/>
  <c r="H5" i="1" s="1"/>
  <c r="F4" i="1"/>
  <c r="I16" i="1"/>
  <c r="E52" i="1"/>
  <c r="E53" i="1"/>
  <c r="E58" i="1"/>
  <c r="E59" i="1"/>
  <c r="E36" i="1"/>
  <c r="E37" i="1"/>
  <c r="E47" i="1"/>
  <c r="E48" i="1"/>
  <c r="E50" i="1"/>
  <c r="E51" i="1"/>
  <c r="E54" i="1"/>
  <c r="E55" i="1"/>
  <c r="E56" i="1"/>
  <c r="E57" i="1"/>
  <c r="E64" i="1"/>
  <c r="E65" i="1"/>
  <c r="E44" i="1"/>
  <c r="E46" i="1"/>
  <c r="E21" i="1"/>
  <c r="E22" i="1"/>
  <c r="E24" i="1"/>
  <c r="E30" i="1"/>
  <c r="E29" i="1"/>
  <c r="E33" i="1"/>
  <c r="E25" i="1"/>
  <c r="E31" i="1"/>
  <c r="E4" i="1"/>
  <c r="E5" i="1"/>
  <c r="E9" i="1"/>
  <c r="E10" i="1"/>
  <c r="E11" i="1"/>
  <c r="E12" i="1"/>
  <c r="E13" i="1"/>
  <c r="E14" i="1"/>
  <c r="E15" i="1"/>
  <c r="D68" i="1"/>
  <c r="E63" i="1"/>
  <c r="E60" i="1"/>
  <c r="E43" i="1"/>
  <c r="E34" i="1"/>
  <c r="E32" i="1"/>
  <c r="E26" i="1"/>
  <c r="C68" i="1"/>
  <c r="C70" i="1" s="1"/>
  <c r="B16" i="1"/>
  <c r="B70" i="1" s="1"/>
  <c r="B68" i="1"/>
  <c r="G16" i="1"/>
  <c r="E16" i="1" l="1"/>
  <c r="J31" i="9"/>
  <c r="G68" i="1"/>
  <c r="G70" i="1" s="1"/>
  <c r="F68" i="1"/>
  <c r="E68" i="1"/>
  <c r="E70" i="1" s="1"/>
  <c r="F16" i="1"/>
  <c r="D70" i="1"/>
  <c r="J37" i="9"/>
  <c r="J48" i="9"/>
  <c r="J49" i="9"/>
  <c r="H4" i="1"/>
  <c r="H16" i="1" s="1"/>
  <c r="H21" i="1"/>
  <c r="H68" i="1" s="1"/>
  <c r="F18" i="8"/>
  <c r="G75" i="8"/>
  <c r="E12" i="9"/>
  <c r="G12" i="9" s="1"/>
  <c r="F75" i="8"/>
  <c r="G73" i="9"/>
  <c r="D75" i="9"/>
  <c r="C75" i="9"/>
  <c r="E73" i="9"/>
  <c r="B75" i="9"/>
  <c r="I73" i="9"/>
  <c r="F47" i="9"/>
  <c r="H47" i="9" s="1"/>
  <c r="H73" i="9" s="1"/>
  <c r="F21" i="9"/>
  <c r="H21" i="9"/>
  <c r="H75" i="8"/>
  <c r="C77" i="8"/>
  <c r="B77" i="8"/>
  <c r="E75" i="8"/>
  <c r="E18" i="8"/>
  <c r="G77" i="8"/>
  <c r="H18" i="8"/>
  <c r="D18" i="8"/>
  <c r="D77" i="8" s="1"/>
  <c r="F70" i="2"/>
  <c r="H16" i="2"/>
  <c r="H70" i="2"/>
  <c r="E21" i="2"/>
  <c r="E70" i="2" s="1"/>
  <c r="G70" i="2"/>
  <c r="D70" i="2"/>
  <c r="B72" i="2"/>
  <c r="C72" i="2"/>
  <c r="D16" i="2"/>
  <c r="F16" i="2"/>
  <c r="J73" i="9" l="1"/>
  <c r="G21" i="9"/>
  <c r="J21" i="9" s="1"/>
  <c r="J12" i="9"/>
  <c r="G75" i="9"/>
  <c r="F77" i="8"/>
  <c r="E21" i="9"/>
  <c r="E75" i="9" s="1"/>
  <c r="F73" i="9"/>
  <c r="F75" i="9" s="1"/>
  <c r="E77" i="8"/>
  <c r="D72" i="2"/>
  <c r="G16" i="2"/>
  <c r="G72" i="2" s="1"/>
  <c r="E16" i="2"/>
  <c r="E72" i="2" s="1"/>
  <c r="F21" i="24"/>
  <c r="F75" i="24" s="1"/>
  <c r="H9" i="24"/>
  <c r="H21" i="24" s="1"/>
  <c r="H75" i="24" l="1"/>
  <c r="K21" i="24"/>
  <c r="K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8080F8A1-5B5B-489C-A984-8431DEE86828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ACC0D9A7-C65F-44D6-97FD-4BC2C20819B7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90E780C4-F039-494C-8695-6E2717337976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D8B722D9-30EB-4857-B6FA-A6477E5E6745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D8FBAA22-11AE-4BE3-B1FB-7D341EFF3DF6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6FBE3B59-B053-4F9D-B888-760B9DE57C25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02DC1299-438C-483D-A4F7-BEECEC4F75BC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D98394F5-0FD6-4554-90BF-D93B9E0BEAD9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4D083195-E2D1-44A3-819F-DAB8FCCE5839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2ABB084F-9937-4184-9611-652EAA8A9BB6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0" authorId="0" shapeId="0" xr:uid="{BE4A5A18-5C3D-4395-9B79-9439D943CA08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F91648DD-450A-4088-AA92-6B065B708E95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82E445B0-3126-45E1-9563-DA81059FC676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60CDDF82-0BA6-4F59-92F4-578DF549E028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5C92F91B-C545-4416-83DA-F7D530AEAD22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430BD11D-2AC0-4C78-9E94-FC5529CB80FA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A54FE2E9-FFE3-42E4-8B99-D431BE037676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DustonS</author>
  </authors>
  <commentList>
    <comment ref="D12" authorId="0" shapeId="0" xr:uid="{7D4D2C84-07CE-4859-9D84-E8F83135895E}">
      <text>
        <r>
          <rPr>
            <b/>
            <sz val="9"/>
            <color indexed="81"/>
            <rFont val="Tahoma"/>
            <family val="2"/>
          </rPr>
          <t>DustonS:</t>
        </r>
        <r>
          <rPr>
            <sz val="9"/>
            <color indexed="81"/>
            <rFont val="Tahoma"/>
            <family val="2"/>
          </rPr>
          <t xml:space="preserve">
Includes 303-309</t>
        </r>
      </text>
    </comment>
  </commentList>
</comments>
</file>

<file path=xl/sharedStrings.xml><?xml version="1.0" encoding="utf-8"?>
<sst xmlns="http://schemas.openxmlformats.org/spreadsheetml/2006/main" count="2369" uniqueCount="100">
  <si>
    <t>INCOME:</t>
  </si>
  <si>
    <t>301 . Industrial Park Rent Income</t>
  </si>
  <si>
    <t>302 . Insurance Collected</t>
  </si>
  <si>
    <t>309 . Ind Park Other Income</t>
  </si>
  <si>
    <t>310 . Property &amp; Fire Tax</t>
  </si>
  <si>
    <t>320 . Aviation/Jet Fuel - FBO Inc</t>
  </si>
  <si>
    <t>321 . Oil Income - FBO</t>
  </si>
  <si>
    <t>322 . Plane Rental - FBO</t>
  </si>
  <si>
    <t>323 . Flight Supplies Income-FBO</t>
  </si>
  <si>
    <t>324 . FBO Other Income</t>
  </si>
  <si>
    <t>325 . T Hangar Rent Income-FBO</t>
  </si>
  <si>
    <t>326 . Flight Instruction Income</t>
  </si>
  <si>
    <t xml:space="preserve">       TOTAL INCOME:</t>
  </si>
  <si>
    <t>EXPENSES:</t>
  </si>
  <si>
    <t>400 . Salaries &amp; Wages</t>
  </si>
  <si>
    <t>401 . Payroll Taxes</t>
  </si>
  <si>
    <t>402. Unemployment Comp Claims</t>
  </si>
  <si>
    <t>403 . Deferred Compensation</t>
  </si>
  <si>
    <t>404 . Property &amp; Fire Tax</t>
  </si>
  <si>
    <t>405 . Contamination</t>
  </si>
  <si>
    <t>406 . Engineering</t>
  </si>
  <si>
    <t>407 . Fuel for Ind Park Equipment</t>
  </si>
  <si>
    <t>408 . Office Supplies</t>
  </si>
  <si>
    <t>409 . Utilities</t>
  </si>
  <si>
    <t>410 . Equipment Repairs-Ind Park</t>
  </si>
  <si>
    <t>410.01 . BAB Historical Comm.</t>
  </si>
  <si>
    <t>411 . Capital Outlay</t>
  </si>
  <si>
    <t>412.01 . Insurance - Group</t>
  </si>
  <si>
    <t>412.02 . Insurance - General</t>
  </si>
  <si>
    <t>413 . Printing / Forms</t>
  </si>
  <si>
    <t xml:space="preserve">414 . Computer Equipment </t>
  </si>
  <si>
    <t>415 . Cash (Short/Over)</t>
  </si>
  <si>
    <t>416 . Interest Expense</t>
  </si>
  <si>
    <t>417 . Grove Expense</t>
  </si>
  <si>
    <t>418 . Uniforms &amp; Shop Supplies</t>
  </si>
  <si>
    <t>419 . Maintenance &amp; Repairs</t>
  </si>
  <si>
    <t>420 . Aviation &amp; Jet Fuel Expense</t>
  </si>
  <si>
    <t>421 . Oil Expense</t>
  </si>
  <si>
    <t>422 . Flight Instruction Expense</t>
  </si>
  <si>
    <t>423 . Flight Supplies Expense</t>
  </si>
  <si>
    <t>424 . Dues &amp; Subscriptions</t>
  </si>
  <si>
    <t>425 . Advertise/Promo/Travel</t>
  </si>
  <si>
    <t>426 . Aircraft Repairs</t>
  </si>
  <si>
    <t>426.01 . Fuel for Rental A/C</t>
  </si>
  <si>
    <t>426.02 . Aircraft Insurance</t>
  </si>
  <si>
    <t>428 . Repairs - FBO Equipment</t>
  </si>
  <si>
    <t>429 . Legal Expense</t>
  </si>
  <si>
    <t>430 . Security Force</t>
  </si>
  <si>
    <t>431 . Employee Drug Testing</t>
  </si>
  <si>
    <t>432 . Safety Development</t>
  </si>
  <si>
    <t>433 . Audit</t>
  </si>
  <si>
    <t>434 . Contingency</t>
  </si>
  <si>
    <t>435 . Credit Card Fees</t>
  </si>
  <si>
    <t>435.01 . Operating Expense - FBO</t>
  </si>
  <si>
    <t>438. Interest Shared W/Tenants</t>
  </si>
  <si>
    <t xml:space="preserve">         TOTAL EXPENSES</t>
  </si>
  <si>
    <t>NET ORDINARY INCOME:</t>
  </si>
  <si>
    <t>Admin</t>
  </si>
  <si>
    <r>
      <t xml:space="preserve">  </t>
    </r>
    <r>
      <rPr>
        <b/>
        <sz val="10"/>
        <rFont val="Arial"/>
        <family val="2"/>
      </rPr>
      <t>FBO</t>
    </r>
  </si>
  <si>
    <t>Ind Park</t>
  </si>
  <si>
    <t>MTD Total</t>
  </si>
  <si>
    <t xml:space="preserve">  MTD</t>
  </si>
  <si>
    <t xml:space="preserve">  YTD</t>
  </si>
  <si>
    <t xml:space="preserve"> Total</t>
  </si>
  <si>
    <t xml:space="preserve"> Income</t>
  </si>
  <si>
    <t>Budget</t>
  </si>
  <si>
    <t>Income</t>
  </si>
  <si>
    <t xml:space="preserve"> Budget</t>
  </si>
  <si>
    <t>Expenses</t>
  </si>
  <si>
    <t xml:space="preserve"> </t>
  </si>
  <si>
    <t>412.01 . W/COMP RETURN PREM.</t>
  </si>
  <si>
    <t>304 . Fruit Sales</t>
  </si>
  <si>
    <t>439. Real Estate Brokerage Fees</t>
  </si>
  <si>
    <t>2011-</t>
  </si>
  <si>
    <t>BARTOW MUNICIPAL AIRPORT DEVELOPMENT AUTHORITY</t>
  </si>
  <si>
    <t>To Actual</t>
  </si>
  <si>
    <t>INCOME</t>
  </si>
  <si>
    <t xml:space="preserve">PROJECTED </t>
  </si>
  <si>
    <t>ANNUAL</t>
  </si>
  <si>
    <t xml:space="preserve">CPC </t>
  </si>
  <si>
    <t xml:space="preserve">RELATED </t>
  </si>
  <si>
    <t>% OF REVENUE RELATED TO CPC</t>
  </si>
  <si>
    <t>AS OF 7/31/2017</t>
  </si>
  <si>
    <t xml:space="preserve">MTD </t>
  </si>
  <si>
    <t>CASH FLOW SUMMARY AS OF OCTOBER 31, 2017</t>
  </si>
  <si>
    <t>CASH FLOW SUMMARY AS OF NOVEMBER 30, 2017</t>
  </si>
  <si>
    <t>CASH FLOW SUMMARY AS OF DECEMBER 31, 2017</t>
  </si>
  <si>
    <t xml:space="preserve">Flight </t>
  </si>
  <si>
    <t>School</t>
  </si>
  <si>
    <t>CASH FLOW SUMMARY AS OF JANUARY 31, 2018</t>
  </si>
  <si>
    <t>Flight</t>
  </si>
  <si>
    <t>CASH FLOW SUMMARY AS OF FEBRUARY 28, 2018</t>
  </si>
  <si>
    <t>CASH FLOW SUMMARY AS OF MARCH 31, 2018</t>
  </si>
  <si>
    <t>BFS</t>
  </si>
  <si>
    <t>CASH FLOW SUMMARY AS OF APRIL 30, 2018</t>
  </si>
  <si>
    <t>CASH FLOW SUMMARY AS OF MAY 31, 2018</t>
  </si>
  <si>
    <t>CASH FLOW SUMMARY AS OF JUNE 30, 2018</t>
  </si>
  <si>
    <t>CASH FLOW SUMMARY AS OF JULY 31, 2018</t>
  </si>
  <si>
    <t>CASH FLOW SUMMARY AS OF AUGUST 31, 2018</t>
  </si>
  <si>
    <t>CASH FLOW SUMMARY AS OF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</si>
</sst>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0"/>
      <name val="Arial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u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 vertical="top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Fill="1"/>
    <xf numFmtId="0" fontId="0" fillId="0" borderId="0" xfId="0" applyFill="1"/>
    <xf numFmtId="0" fontId="1" fillId="0" borderId="0" xfId="0" applyFont="1" applyFill="1"/>
    <xf numFmtId="4" fontId="0" fillId="2" borderId="0" xfId="0" applyNumberForma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4" fontId="5" fillId="0" borderId="0" xfId="0" applyNumberFormat="1" applyFont="1" applyFill="1"/>
    <xf numFmtId="4" fontId="5" fillId="0" borderId="0" xfId="0" applyNumberFormat="1" applyFont="1"/>
    <xf numFmtId="4" fontId="5" fillId="2" borderId="0" xfId="0" applyNumberFormat="1" applyFont="1" applyFill="1"/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Fill="1"/>
    <xf numFmtId="4" fontId="8" fillId="0" borderId="3" xfId="0" applyNumberFormat="1" applyFont="1" applyFill="1" applyBorder="1"/>
    <xf numFmtId="4" fontId="8" fillId="0" borderId="3" xfId="0" applyNumberFormat="1" applyFont="1" applyBorder="1"/>
    <xf numFmtId="4" fontId="8" fillId="0" borderId="0" xfId="0" applyNumberFormat="1" applyFont="1" applyFill="1" applyBorder="1"/>
    <xf numFmtId="10" fontId="7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10" fontId="0" fillId="0" borderId="0" xfId="0" applyNumberFormat="1"/>
    <xf numFmtId="10" fontId="0" fillId="0" borderId="3" xfId="0" applyNumberFormat="1" applyBorder="1"/>
    <xf numFmtId="10" fontId="0" fillId="0" borderId="0" xfId="0" applyNumberFormat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10" fontId="1" fillId="0" borderId="4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10" fontId="1" fillId="0" borderId="3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6" fillId="0" borderId="4" xfId="0" applyNumberFormat="1" applyFont="1" applyBorder="1"/>
    <xf numFmtId="4" fontId="6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4" fontId="6" fillId="2" borderId="4" xfId="0" applyNumberFormat="1" applyFont="1" applyFill="1" applyBorder="1"/>
    <xf numFmtId="4" fontId="6" fillId="2" borderId="2" xfId="0" applyNumberFormat="1" applyFont="1" applyFill="1" applyBorder="1"/>
    <xf numFmtId="6" fontId="0" fillId="0" borderId="0" xfId="0" applyNumberFormat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4316075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649325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765C09-AC10-4D4E-858B-8EED8388800E}"/>
            </a:ext>
          </a:extLst>
        </xdr:cNvPr>
        <xdr:cNvSpPr txBox="1"/>
      </xdr:nvSpPr>
      <xdr:spPr>
        <a:xfrm>
          <a:off x="13154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E4904F-A749-4BFF-ABA6-B3F049245361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3649325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0A6A45-7A73-420C-9CEA-F59EBC24CFB4}"/>
            </a:ext>
          </a:extLst>
        </xdr:cNvPr>
        <xdr:cNvSpPr txBox="1"/>
      </xdr:nvSpPr>
      <xdr:spPr>
        <a:xfrm>
          <a:off x="13154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8D04E4-CB6C-4B5B-B148-25AA07FC5E07}"/>
            </a:ext>
          </a:extLst>
        </xdr:cNvPr>
        <xdr:cNvSpPr txBox="1"/>
      </xdr:nvSpPr>
      <xdr:spPr>
        <a:xfrm>
          <a:off x="13154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58233F-EC72-452B-BE81-362DAF70ECF1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C0AD9D-D267-4B74-976D-8ACE1ECA088F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DC6BAD6-3511-46D1-A0FE-D471A5A39C5B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3649325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837014-F26A-4683-8128-AE8D9039AD68}"/>
            </a:ext>
          </a:extLst>
        </xdr:cNvPr>
        <xdr:cNvSpPr txBox="1"/>
      </xdr:nvSpPr>
      <xdr:spPr>
        <a:xfrm>
          <a:off x="133921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59BA595-0751-447B-957E-1DF67BB3A6A6}"/>
            </a:ext>
          </a:extLst>
        </xdr:cNvPr>
        <xdr:cNvSpPr txBox="1"/>
      </xdr:nvSpPr>
      <xdr:spPr>
        <a:xfrm>
          <a:off x="133921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53112B-5F55-4829-BED9-731DF5E31505}"/>
            </a:ext>
          </a:extLst>
        </xdr:cNvPr>
        <xdr:cNvSpPr txBox="1"/>
      </xdr:nvSpPr>
      <xdr:spPr>
        <a:xfrm>
          <a:off x="133921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6CFB976-A282-41E6-BAC7-16BAB2DA3554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5C2025-81B2-4A3B-9AFE-472D967717B9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B6FB2AF-4CF6-49E7-9970-F4BD3B1E62F4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D3A5E7C-BF55-46B0-AB47-970967C4F9F4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F956B75-FCD9-4CD6-AF67-C1BD118C2F44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50301B2-4B95-4CCD-9A63-C90487DF9AFE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3649325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95B075-ED0E-4F1D-9321-4F2A5AD4BDF3}"/>
            </a:ext>
          </a:extLst>
        </xdr:cNvPr>
        <xdr:cNvSpPr txBox="1"/>
      </xdr:nvSpPr>
      <xdr:spPr>
        <a:xfrm>
          <a:off x="1309687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4681DE1-2A35-476B-8B75-3CD8295AFEAF}"/>
            </a:ext>
          </a:extLst>
        </xdr:cNvPr>
        <xdr:cNvSpPr txBox="1"/>
      </xdr:nvSpPr>
      <xdr:spPr>
        <a:xfrm>
          <a:off x="1309687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C963EE9-CD40-4B34-90EF-581753FDA69F}"/>
            </a:ext>
          </a:extLst>
        </xdr:cNvPr>
        <xdr:cNvSpPr txBox="1"/>
      </xdr:nvSpPr>
      <xdr:spPr>
        <a:xfrm>
          <a:off x="1309687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13D180-5DD0-4090-B58B-598A32624AFF}"/>
            </a:ext>
          </a:extLst>
        </xdr:cNvPr>
        <xdr:cNvSpPr txBox="1"/>
      </xdr:nvSpPr>
      <xdr:spPr>
        <a:xfrm>
          <a:off x="1309687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723B38C-FEC9-487B-939B-88AE23EBE2D4}"/>
            </a:ext>
          </a:extLst>
        </xdr:cNvPr>
        <xdr:cNvSpPr txBox="1"/>
      </xdr:nvSpPr>
      <xdr:spPr>
        <a:xfrm>
          <a:off x="127444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A073FCC-0A09-49E6-8308-7B1AEB041911}"/>
            </a:ext>
          </a:extLst>
        </xdr:cNvPr>
        <xdr:cNvSpPr txBox="1"/>
      </xdr:nvSpPr>
      <xdr:spPr>
        <a:xfrm>
          <a:off x="127444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AB90ED7-FCD7-46F0-8AF3-DADA2743D819}"/>
            </a:ext>
          </a:extLst>
        </xdr:cNvPr>
        <xdr:cNvSpPr txBox="1"/>
      </xdr:nvSpPr>
      <xdr:spPr>
        <a:xfrm>
          <a:off x="127444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38100</xdr:colOff>
      <xdr:row>8</xdr:row>
      <xdr:rowOff>133350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D58E17E-B975-4413-9FF9-82BE8784A1CA}"/>
            </a:ext>
          </a:extLst>
        </xdr:cNvPr>
        <xdr:cNvSpPr txBox="1"/>
      </xdr:nvSpPr>
      <xdr:spPr>
        <a:xfrm>
          <a:off x="127444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59C33A9-3673-4BEB-908E-222C8961E146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2674830-DDAF-4FCE-8B0D-70C6FFD762B4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123602B-A8C1-46A2-8CD2-4DA442E3FDA1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EC5B25-1AD6-42D9-8F05-4D61F8998830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2A248AC-52E2-443D-9AF3-7106525DA181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38100</xdr:colOff>
      <xdr:row>8</xdr:row>
      <xdr:rowOff>133350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E2D6E92-0AF4-47F1-9870-D9ECB53295C8}"/>
            </a:ext>
          </a:extLst>
        </xdr:cNvPr>
        <xdr:cNvSpPr txBox="1"/>
      </xdr:nvSpPr>
      <xdr:spPr>
        <a:xfrm>
          <a:off x="1335405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zoomScaleNormal="100" workbookViewId="0">
      <selection sqref="A1:I72"/>
    </sheetView>
  </sheetViews>
  <sheetFormatPr defaultRowHeight="12.75" x14ac:dyDescent="0.2"/>
  <cols>
    <col min="1" max="1" width="32" customWidth="1"/>
    <col min="2" max="3" width="10.7109375" customWidth="1"/>
    <col min="4" max="4" width="10.7109375" bestFit="1" customWidth="1"/>
    <col min="5" max="6" width="10.7109375" customWidth="1"/>
    <col min="7" max="7" width="11.42578125" customWidth="1"/>
    <col min="8" max="8" width="11.7109375" customWidth="1"/>
    <col min="9" max="9" width="11.5703125" customWidth="1"/>
  </cols>
  <sheetData>
    <row r="1" spans="1:9" x14ac:dyDescent="0.2">
      <c r="A1" t="s">
        <v>73</v>
      </c>
      <c r="B1" s="1" t="s">
        <v>57</v>
      </c>
      <c r="C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62</v>
      </c>
      <c r="I1" s="1" t="s">
        <v>63</v>
      </c>
    </row>
    <row r="2" spans="1:9" x14ac:dyDescent="0.2">
      <c r="B2" s="1"/>
      <c r="D2" s="1"/>
      <c r="E2" s="1" t="s">
        <v>64</v>
      </c>
      <c r="F2" s="1" t="s">
        <v>65</v>
      </c>
      <c r="G2" s="1" t="s">
        <v>66</v>
      </c>
      <c r="H2" s="1" t="s">
        <v>67</v>
      </c>
      <c r="I2" s="1" t="s">
        <v>67</v>
      </c>
    </row>
    <row r="3" spans="1:9" x14ac:dyDescent="0.2">
      <c r="A3" s="1" t="s">
        <v>0</v>
      </c>
    </row>
    <row r="4" spans="1:9" x14ac:dyDescent="0.2">
      <c r="A4" s="1" t="s">
        <v>1</v>
      </c>
      <c r="B4" s="2">
        <v>0</v>
      </c>
      <c r="C4" s="2">
        <v>0</v>
      </c>
      <c r="D4" s="2">
        <v>100393.68</v>
      </c>
      <c r="E4" s="2">
        <f t="shared" ref="E4:E15" si="0">B4+C4+D4</f>
        <v>100393.68</v>
      </c>
      <c r="F4" s="2">
        <f>I4/12</f>
        <v>112083.33333333333</v>
      </c>
      <c r="G4" s="2">
        <v>1221983.7</v>
      </c>
      <c r="H4" s="2">
        <f>F4*12</f>
        <v>1345000</v>
      </c>
      <c r="I4" s="2">
        <v>1345000</v>
      </c>
    </row>
    <row r="5" spans="1:9" x14ac:dyDescent="0.2">
      <c r="A5" s="1" t="s">
        <v>2</v>
      </c>
      <c r="B5" s="2">
        <v>0</v>
      </c>
      <c r="C5" s="2">
        <v>574.46</v>
      </c>
      <c r="D5" s="2">
        <v>2028.56</v>
      </c>
      <c r="E5" s="2">
        <f t="shared" si="0"/>
        <v>2603.02</v>
      </c>
      <c r="F5" s="2">
        <f t="shared" ref="F5:F15" si="1">I5/12</f>
        <v>2500</v>
      </c>
      <c r="G5" s="2">
        <v>33779.11</v>
      </c>
      <c r="H5" s="2">
        <f t="shared" ref="H5:H15" si="2">F5*12</f>
        <v>30000</v>
      </c>
      <c r="I5" s="2">
        <v>30000</v>
      </c>
    </row>
    <row r="6" spans="1:9" x14ac:dyDescent="0.2">
      <c r="A6" s="1" t="s">
        <v>71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21276.51</v>
      </c>
      <c r="H6" s="2">
        <f t="shared" si="2"/>
        <v>0</v>
      </c>
      <c r="I6" s="2">
        <v>0</v>
      </c>
    </row>
    <row r="7" spans="1:9" x14ac:dyDescent="0.2">
      <c r="A7" s="1" t="s">
        <v>3</v>
      </c>
      <c r="B7" s="2">
        <v>0</v>
      </c>
      <c r="C7" s="2">
        <v>0</v>
      </c>
      <c r="D7" s="2">
        <f>469.72+1500.33</f>
        <v>1970.05</v>
      </c>
      <c r="E7" s="2">
        <f t="shared" si="0"/>
        <v>1970.05</v>
      </c>
      <c r="F7" s="2">
        <f t="shared" si="1"/>
        <v>2083.3333333333335</v>
      </c>
      <c r="G7" s="2">
        <f>15377.85+14152.27</f>
        <v>29530.120000000003</v>
      </c>
      <c r="H7" s="2">
        <f t="shared" si="2"/>
        <v>25000</v>
      </c>
      <c r="I7" s="2">
        <v>25000</v>
      </c>
    </row>
    <row r="8" spans="1:9" x14ac:dyDescent="0.2">
      <c r="A8" s="1" t="s">
        <v>4</v>
      </c>
      <c r="B8" s="2">
        <v>0</v>
      </c>
      <c r="C8" s="2">
        <v>0</v>
      </c>
      <c r="D8" s="2">
        <v>1690.89</v>
      </c>
      <c r="E8" s="2">
        <f t="shared" si="0"/>
        <v>1690.89</v>
      </c>
      <c r="F8" s="2">
        <f t="shared" si="1"/>
        <v>12500</v>
      </c>
      <c r="G8" s="2">
        <v>97265.44</v>
      </c>
      <c r="H8" s="2">
        <f t="shared" si="2"/>
        <v>150000</v>
      </c>
      <c r="I8" s="2">
        <v>150000</v>
      </c>
    </row>
    <row r="9" spans="1:9" x14ac:dyDescent="0.2">
      <c r="A9" s="1" t="s">
        <v>5</v>
      </c>
      <c r="B9" s="2">
        <v>0</v>
      </c>
      <c r="C9" s="2">
        <v>107370.2</v>
      </c>
      <c r="D9" s="2">
        <v>0</v>
      </c>
      <c r="E9" s="2">
        <f t="shared" si="0"/>
        <v>107370.2</v>
      </c>
      <c r="F9" s="2">
        <f t="shared" si="1"/>
        <v>110833.33333333333</v>
      </c>
      <c r="G9" s="2">
        <v>1362999.59</v>
      </c>
      <c r="H9" s="2">
        <f t="shared" si="2"/>
        <v>1330000</v>
      </c>
      <c r="I9" s="2">
        <v>1330000</v>
      </c>
    </row>
    <row r="10" spans="1:9" x14ac:dyDescent="0.2">
      <c r="A10" s="1" t="s">
        <v>6</v>
      </c>
      <c r="B10" s="2">
        <v>0</v>
      </c>
      <c r="C10" s="2">
        <v>152.19999999999999</v>
      </c>
      <c r="D10" s="2">
        <v>0</v>
      </c>
      <c r="E10" s="2">
        <f t="shared" si="0"/>
        <v>152.19999999999999</v>
      </c>
      <c r="F10" s="2">
        <f t="shared" si="1"/>
        <v>208.33333333333334</v>
      </c>
      <c r="G10" s="2">
        <v>2017.47</v>
      </c>
      <c r="H10" s="2">
        <f t="shared" si="2"/>
        <v>2500</v>
      </c>
      <c r="I10" s="2">
        <v>2500</v>
      </c>
    </row>
    <row r="11" spans="1:9" x14ac:dyDescent="0.2">
      <c r="A11" s="1" t="s">
        <v>7</v>
      </c>
      <c r="B11" s="2">
        <v>0</v>
      </c>
      <c r="C11" s="2">
        <v>3154.3</v>
      </c>
      <c r="D11" s="2">
        <v>0</v>
      </c>
      <c r="E11" s="2">
        <f t="shared" si="0"/>
        <v>3154.3</v>
      </c>
      <c r="F11" s="2">
        <f t="shared" si="1"/>
        <v>10000</v>
      </c>
      <c r="G11" s="2">
        <v>73607.59</v>
      </c>
      <c r="H11" s="2">
        <f t="shared" si="2"/>
        <v>120000</v>
      </c>
      <c r="I11" s="2">
        <v>120000</v>
      </c>
    </row>
    <row r="12" spans="1:9" x14ac:dyDescent="0.2">
      <c r="A12" s="1" t="s">
        <v>8</v>
      </c>
      <c r="B12" s="2">
        <v>0</v>
      </c>
      <c r="C12" s="2">
        <v>121.1</v>
      </c>
      <c r="D12" s="2">
        <v>0</v>
      </c>
      <c r="E12" s="2">
        <f t="shared" si="0"/>
        <v>121.1</v>
      </c>
      <c r="F12" s="2">
        <f t="shared" si="1"/>
        <v>833.33333333333337</v>
      </c>
      <c r="G12" s="2">
        <v>4541.04</v>
      </c>
      <c r="H12" s="2">
        <f t="shared" si="2"/>
        <v>10000</v>
      </c>
      <c r="I12" s="2">
        <v>10000</v>
      </c>
    </row>
    <row r="13" spans="1:9" x14ac:dyDescent="0.2">
      <c r="A13" s="1" t="s">
        <v>9</v>
      </c>
      <c r="B13" s="2">
        <v>0</v>
      </c>
      <c r="C13" s="2">
        <v>327.29000000000002</v>
      </c>
      <c r="D13" s="2">
        <v>0</v>
      </c>
      <c r="E13" s="2">
        <f t="shared" si="0"/>
        <v>327.29000000000002</v>
      </c>
      <c r="F13" s="2">
        <f t="shared" si="1"/>
        <v>2500</v>
      </c>
      <c r="G13" s="2">
        <v>9990.61</v>
      </c>
      <c r="H13" s="2">
        <f t="shared" si="2"/>
        <v>30000</v>
      </c>
      <c r="I13" s="2">
        <v>30000</v>
      </c>
    </row>
    <row r="14" spans="1:9" x14ac:dyDescent="0.2">
      <c r="A14" s="1" t="s">
        <v>10</v>
      </c>
      <c r="B14" s="2">
        <v>0</v>
      </c>
      <c r="C14" s="2">
        <v>44141.87</v>
      </c>
      <c r="D14" s="2">
        <v>0</v>
      </c>
      <c r="E14" s="2">
        <f t="shared" si="0"/>
        <v>44141.87</v>
      </c>
      <c r="F14" s="2">
        <f t="shared" si="1"/>
        <v>42500</v>
      </c>
      <c r="G14" s="2">
        <v>521825.17</v>
      </c>
      <c r="H14" s="2">
        <f t="shared" si="2"/>
        <v>510000</v>
      </c>
      <c r="I14" s="2">
        <v>510000</v>
      </c>
    </row>
    <row r="15" spans="1:9" x14ac:dyDescent="0.2">
      <c r="A15" s="1" t="s">
        <v>11</v>
      </c>
      <c r="B15" s="2">
        <v>0</v>
      </c>
      <c r="C15" s="2">
        <v>1031.8900000000001</v>
      </c>
      <c r="D15" s="2">
        <v>0</v>
      </c>
      <c r="E15" s="2">
        <f t="shared" si="0"/>
        <v>1031.8900000000001</v>
      </c>
      <c r="F15" s="2">
        <f t="shared" si="1"/>
        <v>2083.3333333333335</v>
      </c>
      <c r="G15" s="2">
        <v>16546.34</v>
      </c>
      <c r="H15" s="2">
        <f t="shared" si="2"/>
        <v>25000</v>
      </c>
      <c r="I15" s="2">
        <v>25000</v>
      </c>
    </row>
    <row r="16" spans="1:9" x14ac:dyDescent="0.2">
      <c r="A16" s="1" t="s">
        <v>12</v>
      </c>
      <c r="B16" s="2">
        <f t="shared" ref="B16:I16" si="3">SUM(B4:B15)</f>
        <v>0</v>
      </c>
      <c r="C16" s="2">
        <f t="shared" si="3"/>
        <v>156873.31000000003</v>
      </c>
      <c r="D16" s="2">
        <f t="shared" si="3"/>
        <v>106083.18</v>
      </c>
      <c r="E16" s="2">
        <f t="shared" si="3"/>
        <v>262956.49</v>
      </c>
      <c r="F16" s="2">
        <f t="shared" si="3"/>
        <v>298125</v>
      </c>
      <c r="G16" s="2">
        <f>SUM(G4:G15)</f>
        <v>3395362.69</v>
      </c>
      <c r="H16" s="2">
        <f t="shared" si="3"/>
        <v>3577500</v>
      </c>
      <c r="I16" s="2">
        <f t="shared" si="3"/>
        <v>3577500</v>
      </c>
    </row>
    <row r="17" spans="1:9" x14ac:dyDescent="0.2">
      <c r="A17" s="1"/>
    </row>
    <row r="18" spans="1:9" x14ac:dyDescent="0.2">
      <c r="A18" s="1" t="s">
        <v>13</v>
      </c>
      <c r="B18" s="1" t="s">
        <v>57</v>
      </c>
      <c r="C18" t="s">
        <v>58</v>
      </c>
      <c r="D18" s="1" t="s">
        <v>59</v>
      </c>
      <c r="E18" s="1" t="s">
        <v>60</v>
      </c>
      <c r="F18" s="1" t="s">
        <v>61</v>
      </c>
      <c r="G18" s="1" t="s">
        <v>62</v>
      </c>
      <c r="H18" s="1" t="s">
        <v>62</v>
      </c>
      <c r="I18" s="1" t="s">
        <v>63</v>
      </c>
    </row>
    <row r="19" spans="1:9" x14ac:dyDescent="0.2">
      <c r="A19" s="1"/>
      <c r="B19" s="1"/>
      <c r="D19" s="1"/>
      <c r="E19" s="1" t="s">
        <v>68</v>
      </c>
      <c r="F19" s="1" t="s">
        <v>65</v>
      </c>
      <c r="G19" s="1" t="s">
        <v>68</v>
      </c>
      <c r="H19" s="1" t="s">
        <v>67</v>
      </c>
      <c r="I19" s="1" t="s">
        <v>67</v>
      </c>
    </row>
    <row r="20" spans="1:9" x14ac:dyDescent="0.2">
      <c r="A20" s="1"/>
      <c r="B20" s="1"/>
      <c r="D20" s="1"/>
      <c r="E20" s="1"/>
      <c r="F20" s="1"/>
      <c r="G20" s="1"/>
      <c r="H20" s="1"/>
      <c r="I20" s="1"/>
    </row>
    <row r="21" spans="1:9" x14ac:dyDescent="0.2">
      <c r="A21" s="1" t="s">
        <v>14</v>
      </c>
      <c r="B21" s="2">
        <v>34506.559999999998</v>
      </c>
      <c r="C21" s="2">
        <v>17729.560000000001</v>
      </c>
      <c r="D21" s="2">
        <v>18030</v>
      </c>
      <c r="E21" s="2">
        <f t="shared" ref="E21:E37" si="4">B21+C21+D21</f>
        <v>70266.12</v>
      </c>
      <c r="F21" s="2">
        <f t="shared" ref="F21:F37" si="5">I21/12</f>
        <v>68750</v>
      </c>
      <c r="G21" s="2">
        <v>730384.21</v>
      </c>
      <c r="H21" s="2">
        <f>F21*12</f>
        <v>825000</v>
      </c>
      <c r="I21" s="2">
        <f>215000+200000+410000</f>
        <v>825000</v>
      </c>
    </row>
    <row r="22" spans="1:9" x14ac:dyDescent="0.2">
      <c r="A22" s="1" t="s">
        <v>15</v>
      </c>
      <c r="B22" s="2">
        <v>3063.46</v>
      </c>
      <c r="C22" s="2">
        <v>1213.4100000000001</v>
      </c>
      <c r="D22" s="2">
        <v>1480.66</v>
      </c>
      <c r="E22" s="2">
        <f t="shared" si="4"/>
        <v>5757.53</v>
      </c>
      <c r="F22" s="2">
        <f t="shared" si="5"/>
        <v>5916.666666666667</v>
      </c>
      <c r="G22" s="2">
        <v>59815.7</v>
      </c>
      <c r="H22" s="2">
        <f t="shared" ref="H22:H37" si="6">F22*12</f>
        <v>71000</v>
      </c>
      <c r="I22" s="2">
        <f>19000+16000+36000</f>
        <v>71000</v>
      </c>
    </row>
    <row r="23" spans="1:9" x14ac:dyDescent="0.2">
      <c r="A23" s="1" t="s">
        <v>16</v>
      </c>
      <c r="B23" s="2">
        <v>0</v>
      </c>
      <c r="C23" s="2">
        <v>0</v>
      </c>
      <c r="D23" s="2">
        <v>0</v>
      </c>
      <c r="E23" s="2">
        <f t="shared" si="4"/>
        <v>0</v>
      </c>
      <c r="F23" s="2">
        <f t="shared" si="5"/>
        <v>250</v>
      </c>
      <c r="G23" s="2">
        <f>+B23+C23+D23</f>
        <v>0</v>
      </c>
      <c r="H23" s="2">
        <f t="shared" si="6"/>
        <v>3000</v>
      </c>
      <c r="I23" s="2">
        <v>3000</v>
      </c>
    </row>
    <row r="24" spans="1:9" x14ac:dyDescent="0.2">
      <c r="A24" s="1" t="s">
        <v>17</v>
      </c>
      <c r="B24" s="2">
        <v>3091.7</v>
      </c>
      <c r="C24" s="2">
        <v>288.7</v>
      </c>
      <c r="D24" s="2">
        <v>1327.55</v>
      </c>
      <c r="E24" s="2">
        <f t="shared" si="4"/>
        <v>4707.95</v>
      </c>
      <c r="F24" s="2">
        <f t="shared" si="5"/>
        <v>4625</v>
      </c>
      <c r="G24" s="2">
        <v>48441.95</v>
      </c>
      <c r="H24" s="2">
        <f t="shared" si="6"/>
        <v>55500</v>
      </c>
      <c r="I24" s="2">
        <f>18000+4500+33000</f>
        <v>55500</v>
      </c>
    </row>
    <row r="25" spans="1:9" x14ac:dyDescent="0.2">
      <c r="A25" s="1" t="s">
        <v>18</v>
      </c>
      <c r="B25" s="2">
        <v>0</v>
      </c>
      <c r="C25" s="2">
        <v>0</v>
      </c>
      <c r="D25" s="2">
        <v>0</v>
      </c>
      <c r="E25" s="2">
        <f t="shared" si="4"/>
        <v>0</v>
      </c>
      <c r="F25" s="2">
        <f t="shared" si="5"/>
        <v>14166.666666666666</v>
      </c>
      <c r="G25" s="2">
        <v>118019.1</v>
      </c>
      <c r="H25" s="2">
        <f t="shared" si="6"/>
        <v>170000</v>
      </c>
      <c r="I25" s="2">
        <v>170000</v>
      </c>
    </row>
    <row r="26" spans="1:9" x14ac:dyDescent="0.2">
      <c r="A26" s="1" t="s">
        <v>19</v>
      </c>
      <c r="B26" s="2">
        <v>0</v>
      </c>
      <c r="C26" s="2">
        <v>0</v>
      </c>
      <c r="D26" s="2">
        <v>0</v>
      </c>
      <c r="E26" s="2">
        <f t="shared" si="4"/>
        <v>0</v>
      </c>
      <c r="F26" s="2">
        <f t="shared" si="5"/>
        <v>166.66666666666666</v>
      </c>
      <c r="G26" s="2">
        <f>+B26+C26+D26</f>
        <v>0</v>
      </c>
      <c r="H26" s="2">
        <f t="shared" si="6"/>
        <v>2000</v>
      </c>
      <c r="I26" s="2">
        <v>2000</v>
      </c>
    </row>
    <row r="27" spans="1:9" x14ac:dyDescent="0.2">
      <c r="A27" s="1" t="s">
        <v>20</v>
      </c>
      <c r="B27" s="2">
        <v>0</v>
      </c>
      <c r="C27" s="2">
        <v>0</v>
      </c>
      <c r="D27" s="2">
        <v>0</v>
      </c>
      <c r="E27" s="2">
        <f t="shared" si="4"/>
        <v>0</v>
      </c>
      <c r="F27" s="2">
        <f t="shared" si="5"/>
        <v>1458.3333333333333</v>
      </c>
      <c r="G27" s="2">
        <v>3456</v>
      </c>
      <c r="H27" s="2">
        <f t="shared" si="6"/>
        <v>17500</v>
      </c>
      <c r="I27" s="2">
        <v>17500</v>
      </c>
    </row>
    <row r="28" spans="1:9" x14ac:dyDescent="0.2">
      <c r="A28" s="1" t="s">
        <v>21</v>
      </c>
      <c r="B28" s="2">
        <v>0</v>
      </c>
      <c r="C28" s="2">
        <v>0</v>
      </c>
      <c r="D28" s="2">
        <v>7493.84</v>
      </c>
      <c r="E28" s="2">
        <f t="shared" si="4"/>
        <v>7493.84</v>
      </c>
      <c r="F28" s="2">
        <f t="shared" si="5"/>
        <v>1725</v>
      </c>
      <c r="G28" s="2">
        <v>24130.43</v>
      </c>
      <c r="H28" s="2">
        <f t="shared" si="6"/>
        <v>20700</v>
      </c>
      <c r="I28" s="2">
        <v>20700</v>
      </c>
    </row>
    <row r="29" spans="1:9" x14ac:dyDescent="0.2">
      <c r="A29" s="1" t="s">
        <v>22</v>
      </c>
      <c r="B29" s="2">
        <v>0</v>
      </c>
      <c r="C29" s="2">
        <v>751.12</v>
      </c>
      <c r="D29" s="2">
        <v>751.12</v>
      </c>
      <c r="E29" s="2">
        <f t="shared" si="4"/>
        <v>1502.24</v>
      </c>
      <c r="F29" s="2">
        <f t="shared" si="5"/>
        <v>1666.6666666666667</v>
      </c>
      <c r="G29" s="2">
        <v>12690.49</v>
      </c>
      <c r="H29" s="2">
        <f t="shared" si="6"/>
        <v>20000</v>
      </c>
      <c r="I29" s="2">
        <v>20000</v>
      </c>
    </row>
    <row r="30" spans="1:9" x14ac:dyDescent="0.2">
      <c r="A30" s="1" t="s">
        <v>23</v>
      </c>
      <c r="B30" s="2">
        <v>274.06</v>
      </c>
      <c r="C30" s="2">
        <v>5164.3599999999997</v>
      </c>
      <c r="D30" s="2">
        <v>5164.37</v>
      </c>
      <c r="E30" s="2">
        <f t="shared" si="4"/>
        <v>10602.79</v>
      </c>
      <c r="F30" s="2">
        <f t="shared" si="5"/>
        <v>10833.333333333334</v>
      </c>
      <c r="G30" s="2">
        <v>127653.8</v>
      </c>
      <c r="H30" s="2">
        <f t="shared" si="6"/>
        <v>130000</v>
      </c>
      <c r="I30" s="2">
        <f>60000+60000+10000</f>
        <v>130000</v>
      </c>
    </row>
    <row r="31" spans="1:9" x14ac:dyDescent="0.2">
      <c r="A31" s="1" t="s">
        <v>24</v>
      </c>
      <c r="B31" s="2">
        <v>0</v>
      </c>
      <c r="C31" s="2">
        <v>0</v>
      </c>
      <c r="D31" s="2">
        <v>2834.48</v>
      </c>
      <c r="E31" s="2">
        <f t="shared" si="4"/>
        <v>2834.48</v>
      </c>
      <c r="F31" s="2">
        <f t="shared" si="5"/>
        <v>1250</v>
      </c>
      <c r="G31" s="2">
        <v>17204.150000000001</v>
      </c>
      <c r="H31" s="2">
        <f t="shared" si="6"/>
        <v>15000</v>
      </c>
      <c r="I31" s="2">
        <v>15000</v>
      </c>
    </row>
    <row r="32" spans="1:9" x14ac:dyDescent="0.2">
      <c r="A32" s="1" t="s">
        <v>25</v>
      </c>
      <c r="B32" s="2">
        <v>0</v>
      </c>
      <c r="C32" s="2">
        <v>0</v>
      </c>
      <c r="D32" s="2">
        <v>0</v>
      </c>
      <c r="E32" s="2">
        <f t="shared" si="4"/>
        <v>0</v>
      </c>
      <c r="F32" s="2">
        <f t="shared" si="5"/>
        <v>250</v>
      </c>
      <c r="G32" s="2">
        <f>+B32+C32+D32</f>
        <v>0</v>
      </c>
      <c r="H32" s="2">
        <f t="shared" si="6"/>
        <v>3000</v>
      </c>
      <c r="I32" s="2">
        <v>3000</v>
      </c>
    </row>
    <row r="33" spans="1:9" x14ac:dyDescent="0.2">
      <c r="A33" s="1" t="s">
        <v>26</v>
      </c>
      <c r="B33" s="2">
        <v>0</v>
      </c>
      <c r="C33" s="2">
        <v>0</v>
      </c>
      <c r="D33" s="2">
        <v>7997</v>
      </c>
      <c r="E33" s="2">
        <f t="shared" si="4"/>
        <v>7997</v>
      </c>
      <c r="F33" s="2">
        <f t="shared" si="5"/>
        <v>16666.666666666668</v>
      </c>
      <c r="G33" s="2">
        <v>65128.83</v>
      </c>
      <c r="H33" s="2">
        <f t="shared" si="6"/>
        <v>200000</v>
      </c>
      <c r="I33" s="2">
        <v>200000</v>
      </c>
    </row>
    <row r="34" spans="1:9" x14ac:dyDescent="0.2">
      <c r="A34" s="1" t="s">
        <v>27</v>
      </c>
      <c r="B34" s="2">
        <v>3245.16</v>
      </c>
      <c r="C34" s="2">
        <v>1332.03</v>
      </c>
      <c r="D34" s="2">
        <v>2827.98</v>
      </c>
      <c r="E34" s="2">
        <f t="shared" si="4"/>
        <v>7405.17</v>
      </c>
      <c r="F34" s="2">
        <f t="shared" si="5"/>
        <v>7833.333333333333</v>
      </c>
      <c r="G34" s="2">
        <v>88099.839999999997</v>
      </c>
      <c r="H34" s="2">
        <f t="shared" si="6"/>
        <v>94000</v>
      </c>
      <c r="I34" s="2">
        <f>34000+13000+47000</f>
        <v>94000</v>
      </c>
    </row>
    <row r="35" spans="1:9" x14ac:dyDescent="0.2">
      <c r="A35" s="1" t="s">
        <v>70</v>
      </c>
      <c r="B35" s="2">
        <v>0</v>
      </c>
      <c r="C35" s="2">
        <v>0</v>
      </c>
      <c r="D35" s="2">
        <v>0</v>
      </c>
      <c r="E35" s="2">
        <f t="shared" si="4"/>
        <v>0</v>
      </c>
      <c r="F35" s="2">
        <v>0</v>
      </c>
      <c r="G35" s="2">
        <v>0</v>
      </c>
      <c r="H35" s="2">
        <f t="shared" si="6"/>
        <v>0</v>
      </c>
      <c r="I35" s="2">
        <v>0</v>
      </c>
    </row>
    <row r="36" spans="1:9" x14ac:dyDescent="0.2">
      <c r="A36" s="1" t="s">
        <v>28</v>
      </c>
      <c r="B36" s="2">
        <v>0</v>
      </c>
      <c r="C36" s="2">
        <v>0</v>
      </c>
      <c r="D36" s="2">
        <v>0</v>
      </c>
      <c r="E36" s="2">
        <f t="shared" si="4"/>
        <v>0</v>
      </c>
      <c r="F36" s="2">
        <f t="shared" si="5"/>
        <v>16666.666666666668</v>
      </c>
      <c r="G36" s="2">
        <v>172297.31</v>
      </c>
      <c r="H36" s="2">
        <f t="shared" si="6"/>
        <v>200000</v>
      </c>
      <c r="I36" s="2">
        <f>90000+90000+20000</f>
        <v>200000</v>
      </c>
    </row>
    <row r="37" spans="1:9" x14ac:dyDescent="0.2">
      <c r="A37" s="1" t="s">
        <v>29</v>
      </c>
      <c r="B37" s="2">
        <v>0</v>
      </c>
      <c r="C37" s="2">
        <v>0</v>
      </c>
      <c r="D37" s="2">
        <v>0</v>
      </c>
      <c r="E37" s="2">
        <f t="shared" si="4"/>
        <v>0</v>
      </c>
      <c r="F37" s="2">
        <f t="shared" si="5"/>
        <v>300</v>
      </c>
      <c r="G37" s="2">
        <v>2845.07</v>
      </c>
      <c r="H37" s="2">
        <f t="shared" si="6"/>
        <v>3600</v>
      </c>
      <c r="I37" s="2">
        <v>3600</v>
      </c>
    </row>
    <row r="38" spans="1:9" x14ac:dyDescent="0.2">
      <c r="A38" s="1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" t="s">
        <v>69</v>
      </c>
      <c r="B39" s="2"/>
      <c r="C39" s="2"/>
      <c r="D39" s="2"/>
      <c r="E39" s="2"/>
      <c r="F39" s="2"/>
      <c r="G39" s="2"/>
      <c r="H39" s="2"/>
      <c r="I39" s="2"/>
    </row>
    <row r="40" spans="1:9" x14ac:dyDescent="0.2">
      <c r="B40" s="1" t="s">
        <v>57</v>
      </c>
      <c r="C40" t="s">
        <v>58</v>
      </c>
      <c r="D40" s="1" t="s">
        <v>59</v>
      </c>
      <c r="E40" s="1" t="s">
        <v>60</v>
      </c>
      <c r="F40" s="1" t="s">
        <v>61</v>
      </c>
      <c r="G40" s="1" t="s">
        <v>62</v>
      </c>
      <c r="H40" s="1" t="s">
        <v>62</v>
      </c>
      <c r="I40" s="1" t="s">
        <v>63</v>
      </c>
    </row>
    <row r="41" spans="1:9" x14ac:dyDescent="0.2">
      <c r="B41" s="1"/>
      <c r="D41" s="1"/>
      <c r="E41" s="1" t="s">
        <v>68</v>
      </c>
      <c r="F41" s="1" t="s">
        <v>65</v>
      </c>
      <c r="G41" s="1" t="s">
        <v>68</v>
      </c>
      <c r="H41" s="1" t="s">
        <v>67</v>
      </c>
      <c r="I41" s="1" t="s">
        <v>67</v>
      </c>
    </row>
    <row r="42" spans="1:9" x14ac:dyDescent="0.2">
      <c r="A42" s="1" t="s">
        <v>30</v>
      </c>
      <c r="B42" s="2">
        <v>0</v>
      </c>
      <c r="C42" s="2">
        <v>139.86000000000001</v>
      </c>
      <c r="D42" s="2">
        <v>139.86000000000001</v>
      </c>
      <c r="E42" s="2">
        <f>B42+C42+D42</f>
        <v>279.72000000000003</v>
      </c>
      <c r="F42" s="2">
        <f>I42/12</f>
        <v>1166.6666666666667</v>
      </c>
      <c r="G42" s="2">
        <v>4533.47</v>
      </c>
      <c r="H42" s="2">
        <f>F42*12</f>
        <v>14000</v>
      </c>
      <c r="I42" s="2">
        <v>14000</v>
      </c>
    </row>
    <row r="43" spans="1:9" x14ac:dyDescent="0.2">
      <c r="A43" s="1" t="s">
        <v>31</v>
      </c>
      <c r="B43" s="2">
        <v>0</v>
      </c>
      <c r="C43" s="2">
        <v>0</v>
      </c>
      <c r="D43" s="2">
        <v>0</v>
      </c>
      <c r="E43" s="2">
        <f t="shared" ref="E43:E66" si="7">B43+C43+D43</f>
        <v>0</v>
      </c>
      <c r="F43" s="2">
        <f t="shared" ref="F43:F66" si="8">I43/12</f>
        <v>0</v>
      </c>
      <c r="G43" s="2">
        <f>+B43+C43+D43</f>
        <v>0</v>
      </c>
      <c r="H43" s="2">
        <f t="shared" ref="H43:H66" si="9">F43*12</f>
        <v>0</v>
      </c>
      <c r="I43" s="2">
        <v>0</v>
      </c>
    </row>
    <row r="44" spans="1:9" x14ac:dyDescent="0.2">
      <c r="A44" s="1" t="s">
        <v>32</v>
      </c>
      <c r="B44" s="2">
        <v>0</v>
      </c>
      <c r="C44" s="2">
        <v>0</v>
      </c>
      <c r="D44" s="2">
        <v>0</v>
      </c>
      <c r="E44" s="2">
        <f t="shared" si="7"/>
        <v>0</v>
      </c>
      <c r="F44" s="2">
        <f t="shared" si="8"/>
        <v>833.33333333333337</v>
      </c>
      <c r="G44" s="2">
        <f>+B44+C44+D44</f>
        <v>0</v>
      </c>
      <c r="H44" s="2">
        <f t="shared" si="9"/>
        <v>10000</v>
      </c>
      <c r="I44" s="2">
        <v>10000</v>
      </c>
    </row>
    <row r="45" spans="1:9" x14ac:dyDescent="0.2">
      <c r="A45" s="1" t="s">
        <v>33</v>
      </c>
      <c r="B45" s="2">
        <v>0</v>
      </c>
      <c r="C45" s="2">
        <v>0</v>
      </c>
      <c r="D45" s="2">
        <v>59.6</v>
      </c>
      <c r="E45" s="2">
        <f t="shared" si="7"/>
        <v>59.6</v>
      </c>
      <c r="F45" s="2">
        <f t="shared" si="8"/>
        <v>416.66666666666669</v>
      </c>
      <c r="G45" s="2">
        <v>4691.01</v>
      </c>
      <c r="H45" s="2">
        <f t="shared" si="9"/>
        <v>5000</v>
      </c>
      <c r="I45" s="2">
        <v>5000</v>
      </c>
    </row>
    <row r="46" spans="1:9" x14ac:dyDescent="0.2">
      <c r="A46" s="1" t="s">
        <v>34</v>
      </c>
      <c r="B46" s="2">
        <v>0</v>
      </c>
      <c r="C46" s="2">
        <v>0</v>
      </c>
      <c r="D46" s="2">
        <v>945.25</v>
      </c>
      <c r="E46" s="2">
        <f t="shared" si="7"/>
        <v>945.25</v>
      </c>
      <c r="F46" s="2">
        <f t="shared" si="8"/>
        <v>958.33333333333337</v>
      </c>
      <c r="G46" s="2">
        <v>5830.59</v>
      </c>
      <c r="H46" s="2">
        <f t="shared" si="9"/>
        <v>11500</v>
      </c>
      <c r="I46" s="2">
        <v>11500</v>
      </c>
    </row>
    <row r="47" spans="1:9" x14ac:dyDescent="0.2">
      <c r="A47" s="1" t="s">
        <v>35</v>
      </c>
      <c r="B47" s="2">
        <v>0</v>
      </c>
      <c r="C47" s="2">
        <v>2893.64</v>
      </c>
      <c r="D47" s="2">
        <v>16834.7</v>
      </c>
      <c r="E47" s="2">
        <f t="shared" si="7"/>
        <v>19728.34</v>
      </c>
      <c r="F47" s="2">
        <f t="shared" si="8"/>
        <v>15000</v>
      </c>
      <c r="G47" s="2">
        <v>48745.07</v>
      </c>
      <c r="H47" s="2">
        <f t="shared" si="9"/>
        <v>180000</v>
      </c>
      <c r="I47" s="2">
        <v>180000</v>
      </c>
    </row>
    <row r="48" spans="1:9" x14ac:dyDescent="0.2">
      <c r="A48" s="1" t="s">
        <v>36</v>
      </c>
      <c r="B48" s="2">
        <v>0</v>
      </c>
      <c r="C48" s="2">
        <v>83469.69</v>
      </c>
      <c r="D48" s="2">
        <v>0</v>
      </c>
      <c r="E48" s="2">
        <f t="shared" si="7"/>
        <v>83469.69</v>
      </c>
      <c r="F48" s="2">
        <f t="shared" si="8"/>
        <v>92083.333333333328</v>
      </c>
      <c r="G48" s="2">
        <v>1064015.74</v>
      </c>
      <c r="H48" s="2">
        <f t="shared" si="9"/>
        <v>1105000</v>
      </c>
      <c r="I48" s="2">
        <v>1105000</v>
      </c>
    </row>
    <row r="49" spans="1:9" x14ac:dyDescent="0.2">
      <c r="A49" s="1" t="s">
        <v>37</v>
      </c>
      <c r="B49" s="2">
        <v>0</v>
      </c>
      <c r="C49" s="2">
        <v>0</v>
      </c>
      <c r="D49" s="2">
        <v>0</v>
      </c>
      <c r="E49" s="2">
        <f t="shared" si="7"/>
        <v>0</v>
      </c>
      <c r="F49" s="2">
        <f t="shared" si="8"/>
        <v>183.33333333333334</v>
      </c>
      <c r="G49" s="2">
        <v>867.24</v>
      </c>
      <c r="H49" s="2">
        <f t="shared" si="9"/>
        <v>2200</v>
      </c>
      <c r="I49" s="2">
        <v>2200</v>
      </c>
    </row>
    <row r="50" spans="1:9" x14ac:dyDescent="0.2">
      <c r="A50" s="1" t="s">
        <v>38</v>
      </c>
      <c r="B50" s="2">
        <v>0</v>
      </c>
      <c r="C50" s="2">
        <v>604</v>
      </c>
      <c r="D50" s="2">
        <v>0</v>
      </c>
      <c r="E50" s="2">
        <f t="shared" si="7"/>
        <v>604</v>
      </c>
      <c r="F50" s="2">
        <f t="shared" si="8"/>
        <v>1666.6666666666667</v>
      </c>
      <c r="G50" s="2">
        <v>7989.75</v>
      </c>
      <c r="H50" s="2">
        <f t="shared" si="9"/>
        <v>20000</v>
      </c>
      <c r="I50" s="2">
        <v>20000</v>
      </c>
    </row>
    <row r="51" spans="1:9" x14ac:dyDescent="0.2">
      <c r="A51" s="1" t="s">
        <v>39</v>
      </c>
      <c r="B51" s="2">
        <v>0</v>
      </c>
      <c r="C51" s="2">
        <v>874.06</v>
      </c>
      <c r="D51" s="2">
        <v>0</v>
      </c>
      <c r="E51" s="2">
        <f t="shared" si="7"/>
        <v>874.06</v>
      </c>
      <c r="F51" s="2">
        <f t="shared" si="8"/>
        <v>833.33333333333337</v>
      </c>
      <c r="G51" s="2">
        <v>6835.31</v>
      </c>
      <c r="H51" s="2">
        <f t="shared" si="9"/>
        <v>10000</v>
      </c>
      <c r="I51" s="2">
        <v>10000</v>
      </c>
    </row>
    <row r="52" spans="1:9" x14ac:dyDescent="0.2">
      <c r="A52" s="1" t="s">
        <v>40</v>
      </c>
      <c r="B52" s="2">
        <v>0</v>
      </c>
      <c r="C52" s="2">
        <v>0</v>
      </c>
      <c r="D52" s="2">
        <v>0</v>
      </c>
      <c r="E52" s="2">
        <f t="shared" si="7"/>
        <v>0</v>
      </c>
      <c r="F52" s="2">
        <f t="shared" si="8"/>
        <v>333.33333333333331</v>
      </c>
      <c r="G52" s="2">
        <v>1553.25</v>
      </c>
      <c r="H52" s="2">
        <f t="shared" si="9"/>
        <v>4000</v>
      </c>
      <c r="I52" s="2">
        <v>4000</v>
      </c>
    </row>
    <row r="53" spans="1:9" x14ac:dyDescent="0.2">
      <c r="A53" s="1" t="s">
        <v>41</v>
      </c>
      <c r="B53" s="2">
        <v>865.24</v>
      </c>
      <c r="C53" s="2">
        <v>0</v>
      </c>
      <c r="D53" s="2">
        <v>0</v>
      </c>
      <c r="E53" s="2">
        <f t="shared" si="7"/>
        <v>865.24</v>
      </c>
      <c r="F53" s="2">
        <f t="shared" si="8"/>
        <v>2500</v>
      </c>
      <c r="G53" s="2">
        <v>13727.72</v>
      </c>
      <c r="H53" s="2">
        <f t="shared" si="9"/>
        <v>30000</v>
      </c>
      <c r="I53" s="2">
        <v>30000</v>
      </c>
    </row>
    <row r="54" spans="1:9" x14ac:dyDescent="0.2">
      <c r="A54" s="1" t="s">
        <v>42</v>
      </c>
      <c r="B54" s="2">
        <v>0</v>
      </c>
      <c r="C54" s="2">
        <v>3559.91</v>
      </c>
      <c r="D54" s="2">
        <v>0</v>
      </c>
      <c r="E54" s="2">
        <f t="shared" si="7"/>
        <v>3559.91</v>
      </c>
      <c r="F54" s="2">
        <f t="shared" si="8"/>
        <v>5000</v>
      </c>
      <c r="G54" s="2">
        <v>41764.29</v>
      </c>
      <c r="H54" s="2">
        <f t="shared" si="9"/>
        <v>60000</v>
      </c>
      <c r="I54" s="2">
        <v>60000</v>
      </c>
    </row>
    <row r="55" spans="1:9" x14ac:dyDescent="0.2">
      <c r="A55" s="1" t="s">
        <v>43</v>
      </c>
      <c r="B55" s="2">
        <v>0</v>
      </c>
      <c r="C55" s="2">
        <v>1195.3800000000001</v>
      </c>
      <c r="D55" s="2">
        <v>0</v>
      </c>
      <c r="E55" s="2">
        <f t="shared" si="7"/>
        <v>1195.3800000000001</v>
      </c>
      <c r="F55" s="2">
        <f t="shared" si="8"/>
        <v>2916.6666666666665</v>
      </c>
      <c r="G55" s="2">
        <v>25063.95</v>
      </c>
      <c r="H55" s="2">
        <f t="shared" si="9"/>
        <v>35000</v>
      </c>
      <c r="I55" s="2">
        <v>35000</v>
      </c>
    </row>
    <row r="56" spans="1:9" x14ac:dyDescent="0.2">
      <c r="A56" s="1" t="s">
        <v>44</v>
      </c>
      <c r="B56" s="2">
        <v>0</v>
      </c>
      <c r="C56" s="2">
        <v>0</v>
      </c>
      <c r="D56" s="2">
        <v>0</v>
      </c>
      <c r="E56" s="2">
        <f t="shared" si="7"/>
        <v>0</v>
      </c>
      <c r="F56" s="2">
        <f t="shared" si="8"/>
        <v>1500</v>
      </c>
      <c r="G56" s="2">
        <v>12636.11</v>
      </c>
      <c r="H56" s="2">
        <f t="shared" si="9"/>
        <v>18000</v>
      </c>
      <c r="I56" s="2">
        <v>18000</v>
      </c>
    </row>
    <row r="57" spans="1:9" x14ac:dyDescent="0.2">
      <c r="A57" s="1" t="s">
        <v>45</v>
      </c>
      <c r="B57" s="2">
        <v>0</v>
      </c>
      <c r="C57" s="2">
        <v>4.04</v>
      </c>
      <c r="D57" s="2">
        <v>0</v>
      </c>
      <c r="E57" s="2">
        <f t="shared" si="7"/>
        <v>4.04</v>
      </c>
      <c r="F57" s="2">
        <f t="shared" si="8"/>
        <v>1250</v>
      </c>
      <c r="G57" s="2">
        <v>14344.51</v>
      </c>
      <c r="H57" s="2">
        <f t="shared" si="9"/>
        <v>15000</v>
      </c>
      <c r="I57" s="2">
        <v>15000</v>
      </c>
    </row>
    <row r="58" spans="1:9" x14ac:dyDescent="0.2">
      <c r="A58" s="1" t="s">
        <v>46</v>
      </c>
      <c r="B58" s="2">
        <v>280.35000000000002</v>
      </c>
      <c r="C58" s="2">
        <v>0</v>
      </c>
      <c r="D58" s="2">
        <v>0</v>
      </c>
      <c r="E58" s="2">
        <f t="shared" si="7"/>
        <v>280.35000000000002</v>
      </c>
      <c r="F58" s="2">
        <f t="shared" si="8"/>
        <v>1250</v>
      </c>
      <c r="G58" s="2">
        <v>5770.43</v>
      </c>
      <c r="H58" s="2">
        <f t="shared" si="9"/>
        <v>15000</v>
      </c>
      <c r="I58" s="2">
        <v>15000</v>
      </c>
    </row>
    <row r="59" spans="1:9" x14ac:dyDescent="0.2">
      <c r="A59" s="1" t="s">
        <v>47</v>
      </c>
      <c r="B59" s="2">
        <v>9710.83</v>
      </c>
      <c r="C59" s="2">
        <v>0</v>
      </c>
      <c r="D59" s="2">
        <v>0</v>
      </c>
      <c r="E59" s="2">
        <f t="shared" si="7"/>
        <v>9710.83</v>
      </c>
      <c r="F59" s="2">
        <f t="shared" si="8"/>
        <v>10833.333333333334</v>
      </c>
      <c r="G59" s="2">
        <v>127446.39</v>
      </c>
      <c r="H59" s="2">
        <f t="shared" si="9"/>
        <v>130000</v>
      </c>
      <c r="I59" s="2">
        <v>130000</v>
      </c>
    </row>
    <row r="60" spans="1:9" x14ac:dyDescent="0.2">
      <c r="A60" s="1" t="s">
        <v>48</v>
      </c>
      <c r="B60" s="2">
        <v>0</v>
      </c>
      <c r="C60" s="2">
        <v>0</v>
      </c>
      <c r="D60" s="2">
        <v>0</v>
      </c>
      <c r="E60" s="2">
        <f t="shared" si="7"/>
        <v>0</v>
      </c>
      <c r="F60" s="2">
        <f t="shared" si="8"/>
        <v>41.666666666666664</v>
      </c>
      <c r="G60" s="2">
        <f>+B60+C60+D60</f>
        <v>0</v>
      </c>
      <c r="H60" s="2">
        <f t="shared" si="9"/>
        <v>500</v>
      </c>
      <c r="I60" s="2">
        <v>500</v>
      </c>
    </row>
    <row r="61" spans="1:9" x14ac:dyDescent="0.2">
      <c r="A61" s="1" t="s">
        <v>49</v>
      </c>
      <c r="B61" s="2">
        <v>0</v>
      </c>
      <c r="C61" s="2">
        <v>0</v>
      </c>
      <c r="D61" s="2">
        <v>0</v>
      </c>
      <c r="E61" s="2">
        <f t="shared" si="7"/>
        <v>0</v>
      </c>
      <c r="F61" s="2">
        <f t="shared" si="8"/>
        <v>250</v>
      </c>
      <c r="G61" s="2">
        <v>826.06</v>
      </c>
      <c r="H61" s="2">
        <f t="shared" si="9"/>
        <v>3000</v>
      </c>
      <c r="I61" s="2">
        <v>3000</v>
      </c>
    </row>
    <row r="62" spans="1:9" x14ac:dyDescent="0.2">
      <c r="A62" s="1" t="s">
        <v>50</v>
      </c>
      <c r="B62" s="2">
        <v>0</v>
      </c>
      <c r="C62" s="2">
        <v>0</v>
      </c>
      <c r="D62" s="2">
        <v>0</v>
      </c>
      <c r="E62" s="2">
        <f t="shared" si="7"/>
        <v>0</v>
      </c>
      <c r="F62" s="2">
        <f t="shared" si="8"/>
        <v>2333.3333333333335</v>
      </c>
      <c r="G62" s="2">
        <v>21985</v>
      </c>
      <c r="H62" s="2">
        <f t="shared" si="9"/>
        <v>28000</v>
      </c>
      <c r="I62" s="2">
        <v>28000</v>
      </c>
    </row>
    <row r="63" spans="1:9" x14ac:dyDescent="0.2">
      <c r="A63" s="1" t="s">
        <v>51</v>
      </c>
      <c r="B63" s="2">
        <v>0</v>
      </c>
      <c r="C63" s="2">
        <v>0</v>
      </c>
      <c r="D63" s="2">
        <v>0</v>
      </c>
      <c r="E63" s="2">
        <f t="shared" si="7"/>
        <v>0</v>
      </c>
      <c r="F63" s="2">
        <f t="shared" si="8"/>
        <v>0</v>
      </c>
      <c r="G63" s="2">
        <f>+B63+C63+D63</f>
        <v>0</v>
      </c>
      <c r="H63" s="2">
        <f t="shared" si="9"/>
        <v>0</v>
      </c>
      <c r="I63" s="2">
        <v>0</v>
      </c>
    </row>
    <row r="64" spans="1:9" x14ac:dyDescent="0.2">
      <c r="A64" s="1" t="s">
        <v>52</v>
      </c>
      <c r="B64" s="2">
        <v>0</v>
      </c>
      <c r="C64" s="2">
        <v>2208.4499999999998</v>
      </c>
      <c r="D64" s="2">
        <v>0</v>
      </c>
      <c r="E64" s="2">
        <f t="shared" si="7"/>
        <v>2208.4499999999998</v>
      </c>
      <c r="F64" s="2">
        <f t="shared" si="8"/>
        <v>3333.3333333333335</v>
      </c>
      <c r="G64" s="2">
        <v>34008.49</v>
      </c>
      <c r="H64" s="2">
        <f t="shared" si="9"/>
        <v>40000</v>
      </c>
      <c r="I64" s="2">
        <v>40000</v>
      </c>
    </row>
    <row r="65" spans="1:9" x14ac:dyDescent="0.2">
      <c r="A65" s="1" t="s">
        <v>53</v>
      </c>
      <c r="B65" s="2">
        <v>0</v>
      </c>
      <c r="C65" s="2">
        <v>452.63</v>
      </c>
      <c r="D65" s="2">
        <v>0</v>
      </c>
      <c r="E65" s="2">
        <f t="shared" si="7"/>
        <v>452.63</v>
      </c>
      <c r="F65" s="2">
        <f t="shared" si="8"/>
        <v>833.33333333333337</v>
      </c>
      <c r="G65" s="2">
        <v>6864.26</v>
      </c>
      <c r="H65" s="2">
        <f t="shared" si="9"/>
        <v>10000</v>
      </c>
      <c r="I65" s="2">
        <v>10000</v>
      </c>
    </row>
    <row r="66" spans="1:9" x14ac:dyDescent="0.2">
      <c r="A66" s="1" t="s">
        <v>54</v>
      </c>
      <c r="B66" s="2">
        <v>0</v>
      </c>
      <c r="C66" s="2">
        <v>0</v>
      </c>
      <c r="D66" s="2">
        <v>23.6</v>
      </c>
      <c r="E66" s="2">
        <f t="shared" si="7"/>
        <v>23.6</v>
      </c>
      <c r="F66" s="2">
        <f t="shared" si="8"/>
        <v>83.333333333333329</v>
      </c>
      <c r="G66" s="2">
        <v>137.22</v>
      </c>
      <c r="H66" s="2">
        <f t="shared" si="9"/>
        <v>1000</v>
      </c>
      <c r="I66" s="2">
        <v>1000</v>
      </c>
    </row>
    <row r="67" spans="1:9" x14ac:dyDescent="0.2">
      <c r="A67" s="1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" t="s">
        <v>55</v>
      </c>
      <c r="B68" s="2">
        <f t="shared" ref="B68:I68" si="10">SUM(B21:B66)</f>
        <v>55037.359999999986</v>
      </c>
      <c r="C68" s="2">
        <f t="shared" si="10"/>
        <v>121880.84</v>
      </c>
      <c r="D68" s="2">
        <f t="shared" si="10"/>
        <v>65910.010000000009</v>
      </c>
      <c r="E68" s="2">
        <f t="shared" si="10"/>
        <v>242828.21000000002</v>
      </c>
      <c r="F68" s="2">
        <f t="shared" si="10"/>
        <v>298124.99999999988</v>
      </c>
      <c r="G68" s="2">
        <f>SUM(G21:G66)</f>
        <v>2919802.7400000012</v>
      </c>
      <c r="H68" s="2">
        <f t="shared" si="10"/>
        <v>3577500</v>
      </c>
      <c r="I68" s="2">
        <f t="shared" si="10"/>
        <v>3577500</v>
      </c>
    </row>
    <row r="69" spans="1:9" x14ac:dyDescent="0.2"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" t="s">
        <v>56</v>
      </c>
      <c r="B70" s="2">
        <f>B16-B68</f>
        <v>-55037.359999999986</v>
      </c>
      <c r="C70" s="2">
        <f>C16-C68</f>
        <v>34992.47000000003</v>
      </c>
      <c r="D70" s="2">
        <f>D16-D68</f>
        <v>40173.169999999984</v>
      </c>
      <c r="E70" s="3">
        <f>E16-E68</f>
        <v>20128.27999999997</v>
      </c>
      <c r="G70" s="3">
        <f>G16-G68</f>
        <v>475559.94999999879</v>
      </c>
    </row>
  </sheetData>
  <phoneticPr fontId="0" type="noConversion"/>
  <pageMargins left="0" right="0.75" top="1" bottom="1" header="0.5" footer="0.5"/>
  <pageSetup orientation="landscape" r:id="rId1"/>
  <headerFooter alignWithMargins="0">
    <oddHeader>&amp;C&amp;"Arial,Bold"Bartow Municipal Airport Development Authority
Cash Flow Summary for Management Purposes Only
SEPTEMBER 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D1" s="31" t="s">
        <v>74</v>
      </c>
    </row>
    <row r="3" spans="1:10" ht="15.75" x14ac:dyDescent="0.25">
      <c r="D3" s="31" t="s">
        <v>89</v>
      </c>
    </row>
    <row r="6" spans="1:10" x14ac:dyDescent="0.2">
      <c r="B6" s="1" t="s">
        <v>57</v>
      </c>
      <c r="C6" t="s">
        <v>58</v>
      </c>
      <c r="D6" s="8" t="s">
        <v>59</v>
      </c>
      <c r="E6" s="1" t="s">
        <v>60</v>
      </c>
      <c r="F6" s="1" t="s">
        <v>61</v>
      </c>
      <c r="G6" s="8" t="s">
        <v>62</v>
      </c>
      <c r="H6" s="1" t="s">
        <v>62</v>
      </c>
      <c r="I6" s="8" t="s">
        <v>63</v>
      </c>
      <c r="J6" s="16">
        <v>0.33</v>
      </c>
    </row>
    <row r="7" spans="1:10" x14ac:dyDescent="0.2">
      <c r="B7" s="1"/>
      <c r="D7" s="8"/>
      <c r="E7" s="1" t="s">
        <v>64</v>
      </c>
      <c r="F7" s="1" t="s">
        <v>65</v>
      </c>
      <c r="G7" s="8" t="s">
        <v>66</v>
      </c>
      <c r="H7" s="1" t="s">
        <v>67</v>
      </c>
      <c r="I7" s="8" t="s">
        <v>67</v>
      </c>
      <c r="J7" s="17" t="s">
        <v>65</v>
      </c>
    </row>
    <row r="8" spans="1:10" x14ac:dyDescent="0.2">
      <c r="A8" s="11" t="s">
        <v>0</v>
      </c>
      <c r="J8" s="17" t="s">
        <v>75</v>
      </c>
    </row>
    <row r="9" spans="1:10" x14ac:dyDescent="0.2">
      <c r="A9" s="11" t="s">
        <v>1</v>
      </c>
      <c r="B9" s="13">
        <v>0</v>
      </c>
      <c r="C9" s="13">
        <v>0</v>
      </c>
      <c r="D9" s="13">
        <v>139765.41</v>
      </c>
      <c r="E9" s="14">
        <f>+B9+C9+D9</f>
        <v>139765.41</v>
      </c>
      <c r="F9" s="14">
        <f>I9/12</f>
        <v>148333.33333333334</v>
      </c>
      <c r="G9" s="13">
        <v>563108.97</v>
      </c>
      <c r="H9" s="14">
        <f>F9*4</f>
        <v>593333.33333333337</v>
      </c>
      <c r="I9" s="13">
        <v>1780000</v>
      </c>
      <c r="J9" s="32">
        <f>+G9/I9</f>
        <v>0.31635335393258424</v>
      </c>
    </row>
    <row r="10" spans="1:10" x14ac:dyDescent="0.2">
      <c r="A10" s="11" t="s">
        <v>2</v>
      </c>
      <c r="B10" s="13">
        <v>0</v>
      </c>
      <c r="C10" s="13">
        <v>935.14</v>
      </c>
      <c r="D10" s="13">
        <v>5830.97</v>
      </c>
      <c r="E10" s="14">
        <f t="shared" ref="E10:E20" si="0">+B10+C10+D10</f>
        <v>6766.1100000000006</v>
      </c>
      <c r="F10" s="14">
        <f t="shared" ref="F10:F20" si="1">I10/12</f>
        <v>6083.333333333333</v>
      </c>
      <c r="G10" s="13">
        <v>26412.09</v>
      </c>
      <c r="H10" s="14">
        <f t="shared" ref="H10:H20" si="2">F10*4</f>
        <v>24333.333333333332</v>
      </c>
      <c r="I10" s="13">
        <v>73000</v>
      </c>
      <c r="J10" s="32">
        <f t="shared" ref="J10:J21" si="3">+G10/I10</f>
        <v>0.36180945205479453</v>
      </c>
    </row>
    <row r="11" spans="1:10" x14ac:dyDescent="0.2">
      <c r="A11" s="11" t="s">
        <v>71</v>
      </c>
      <c r="B11" s="13">
        <v>0</v>
      </c>
      <c r="C11" s="13">
        <v>0</v>
      </c>
      <c r="D11" s="13">
        <v>0</v>
      </c>
      <c r="E11" s="14">
        <f t="shared" si="0"/>
        <v>0</v>
      </c>
      <c r="F11" s="14">
        <f t="shared" si="1"/>
        <v>1250</v>
      </c>
      <c r="G11" s="13">
        <f t="shared" ref="G11" si="4">E11</f>
        <v>0</v>
      </c>
      <c r="H11" s="14">
        <f t="shared" si="2"/>
        <v>5000</v>
      </c>
      <c r="I11" s="13">
        <v>15000</v>
      </c>
      <c r="J11" s="32">
        <f t="shared" si="3"/>
        <v>0</v>
      </c>
    </row>
    <row r="12" spans="1:10" x14ac:dyDescent="0.2">
      <c r="A12" s="11" t="s">
        <v>3</v>
      </c>
      <c r="B12" s="13">
        <v>0</v>
      </c>
      <c r="C12" s="13">
        <v>0</v>
      </c>
      <c r="D12" s="13">
        <v>7622.75</v>
      </c>
      <c r="E12" s="14">
        <f t="shared" si="0"/>
        <v>7622.75</v>
      </c>
      <c r="F12" s="14">
        <f t="shared" si="1"/>
        <v>3333.3333333333335</v>
      </c>
      <c r="G12" s="13">
        <v>15388.79</v>
      </c>
      <c r="H12" s="14">
        <f t="shared" si="2"/>
        <v>13333.333333333334</v>
      </c>
      <c r="I12" s="13">
        <v>40000</v>
      </c>
      <c r="J12" s="32">
        <f t="shared" si="3"/>
        <v>0.38471975000000003</v>
      </c>
    </row>
    <row r="13" spans="1:10" x14ac:dyDescent="0.2">
      <c r="A13" s="11" t="s">
        <v>4</v>
      </c>
      <c r="B13" s="13">
        <v>0</v>
      </c>
      <c r="C13" s="13">
        <v>0</v>
      </c>
      <c r="D13" s="13">
        <v>2495.25</v>
      </c>
      <c r="E13" s="14">
        <f t="shared" si="0"/>
        <v>2495.25</v>
      </c>
      <c r="F13" s="14">
        <f t="shared" si="1"/>
        <v>8333.3333333333339</v>
      </c>
      <c r="G13" s="13">
        <v>81250.64</v>
      </c>
      <c r="H13" s="14">
        <f t="shared" si="2"/>
        <v>33333.333333333336</v>
      </c>
      <c r="I13" s="13">
        <v>100000</v>
      </c>
      <c r="J13" s="32">
        <f t="shared" si="3"/>
        <v>0.81250639999999996</v>
      </c>
    </row>
    <row r="14" spans="1:10" x14ac:dyDescent="0.2">
      <c r="A14" s="11" t="s">
        <v>5</v>
      </c>
      <c r="B14" s="13">
        <v>0</v>
      </c>
      <c r="C14" s="13">
        <v>142125.17000000001</v>
      </c>
      <c r="D14" s="13">
        <v>0</v>
      </c>
      <c r="E14" s="14">
        <f t="shared" si="0"/>
        <v>142125.17000000001</v>
      </c>
      <c r="F14" s="14">
        <f t="shared" si="1"/>
        <v>121666.66666666667</v>
      </c>
      <c r="G14" s="13">
        <v>470194.84</v>
      </c>
      <c r="H14" s="14">
        <f t="shared" si="2"/>
        <v>486666.66666666669</v>
      </c>
      <c r="I14" s="13">
        <v>1460000</v>
      </c>
      <c r="J14" s="32">
        <f t="shared" si="3"/>
        <v>0.32205126027397263</v>
      </c>
    </row>
    <row r="15" spans="1:10" x14ac:dyDescent="0.2">
      <c r="A15" s="11" t="s">
        <v>6</v>
      </c>
      <c r="B15" s="13">
        <v>0</v>
      </c>
      <c r="C15" s="13">
        <v>519.9</v>
      </c>
      <c r="D15" s="13">
        <v>0</v>
      </c>
      <c r="E15" s="14">
        <f t="shared" si="0"/>
        <v>519.9</v>
      </c>
      <c r="F15" s="14">
        <f t="shared" si="1"/>
        <v>916.66666666666663</v>
      </c>
      <c r="G15" s="13">
        <v>2553.58</v>
      </c>
      <c r="H15" s="14">
        <f t="shared" si="2"/>
        <v>3666.6666666666665</v>
      </c>
      <c r="I15" s="13">
        <v>11000</v>
      </c>
      <c r="J15" s="32">
        <f t="shared" si="3"/>
        <v>0.23214363636363636</v>
      </c>
    </row>
    <row r="16" spans="1:10" x14ac:dyDescent="0.2">
      <c r="A16" s="11" t="s">
        <v>7</v>
      </c>
      <c r="B16" s="13">
        <v>0</v>
      </c>
      <c r="C16" s="13">
        <v>27137.58</v>
      </c>
      <c r="D16" s="13">
        <v>0</v>
      </c>
      <c r="E16" s="14">
        <f t="shared" si="0"/>
        <v>27137.58</v>
      </c>
      <c r="F16" s="14">
        <f t="shared" si="1"/>
        <v>15833.333333333334</v>
      </c>
      <c r="G16" s="13">
        <v>98140.59</v>
      </c>
      <c r="H16" s="14">
        <f t="shared" si="2"/>
        <v>63333.333333333336</v>
      </c>
      <c r="I16" s="13">
        <v>190000</v>
      </c>
      <c r="J16" s="32">
        <f t="shared" si="3"/>
        <v>0.51652942105263155</v>
      </c>
    </row>
    <row r="17" spans="1:11" x14ac:dyDescent="0.2">
      <c r="A17" s="11" t="s">
        <v>8</v>
      </c>
      <c r="B17" s="13">
        <v>0</v>
      </c>
      <c r="C17" s="13">
        <v>400.11</v>
      </c>
      <c r="D17" s="13">
        <v>0</v>
      </c>
      <c r="E17" s="14">
        <f t="shared" si="0"/>
        <v>400.11</v>
      </c>
      <c r="F17" s="14">
        <f t="shared" si="1"/>
        <v>625</v>
      </c>
      <c r="G17" s="13">
        <v>1396.01</v>
      </c>
      <c r="H17" s="14">
        <f t="shared" si="2"/>
        <v>2500</v>
      </c>
      <c r="I17" s="13">
        <v>7500</v>
      </c>
      <c r="J17" s="32">
        <f t="shared" si="3"/>
        <v>0.18613466666666667</v>
      </c>
    </row>
    <row r="18" spans="1:11" x14ac:dyDescent="0.2">
      <c r="A18" s="11" t="s">
        <v>9</v>
      </c>
      <c r="B18" s="13">
        <v>0</v>
      </c>
      <c r="C18" s="13">
        <v>5296.85</v>
      </c>
      <c r="D18" s="13">
        <v>0</v>
      </c>
      <c r="E18" s="14">
        <f t="shared" si="0"/>
        <v>5296.85</v>
      </c>
      <c r="F18" s="14">
        <f t="shared" si="1"/>
        <v>4166.666666666667</v>
      </c>
      <c r="G18" s="13">
        <v>13266.36</v>
      </c>
      <c r="H18" s="14">
        <f t="shared" si="2"/>
        <v>16666.666666666668</v>
      </c>
      <c r="I18" s="13">
        <v>50000</v>
      </c>
      <c r="J18" s="32">
        <f t="shared" si="3"/>
        <v>0.26532719999999999</v>
      </c>
    </row>
    <row r="19" spans="1:11" x14ac:dyDescent="0.2">
      <c r="A19" s="11" t="s">
        <v>10</v>
      </c>
      <c r="B19" s="13">
        <v>0</v>
      </c>
      <c r="C19" s="13">
        <v>50093.7</v>
      </c>
      <c r="D19" s="13">
        <v>0</v>
      </c>
      <c r="E19" s="14">
        <f t="shared" si="0"/>
        <v>50093.7</v>
      </c>
      <c r="F19" s="14">
        <f t="shared" si="1"/>
        <v>48666.666666666664</v>
      </c>
      <c r="G19" s="13">
        <v>197682.14</v>
      </c>
      <c r="H19" s="14">
        <f t="shared" si="2"/>
        <v>194666.66666666666</v>
      </c>
      <c r="I19" s="13">
        <v>584000</v>
      </c>
      <c r="J19" s="32">
        <f t="shared" si="3"/>
        <v>0.33849681506849316</v>
      </c>
    </row>
    <row r="20" spans="1:11" x14ac:dyDescent="0.2">
      <c r="A20" s="11" t="s">
        <v>11</v>
      </c>
      <c r="B20" s="13">
        <v>0</v>
      </c>
      <c r="C20" s="13">
        <v>13748.5</v>
      </c>
      <c r="D20" s="13">
        <v>0</v>
      </c>
      <c r="E20" s="14">
        <f t="shared" si="0"/>
        <v>13748.5</v>
      </c>
      <c r="F20" s="14">
        <f t="shared" si="1"/>
        <v>4583.333333333333</v>
      </c>
      <c r="G20" s="13">
        <v>39212.35</v>
      </c>
      <c r="H20" s="14">
        <f t="shared" si="2"/>
        <v>18333.333333333332</v>
      </c>
      <c r="I20" s="13">
        <v>55000</v>
      </c>
      <c r="J20" s="33">
        <f t="shared" si="3"/>
        <v>0.71295181818181819</v>
      </c>
    </row>
    <row r="21" spans="1:11" x14ac:dyDescent="0.2">
      <c r="A21" s="11" t="s">
        <v>12</v>
      </c>
      <c r="B21" s="35">
        <f t="shared" ref="B21:I21" si="5">SUM(B9:B20)</f>
        <v>0</v>
      </c>
      <c r="C21" s="35">
        <f t="shared" si="5"/>
        <v>240256.95</v>
      </c>
      <c r="D21" s="36">
        <f t="shared" si="5"/>
        <v>155714.38</v>
      </c>
      <c r="E21" s="35">
        <f t="shared" si="5"/>
        <v>395971.33000000007</v>
      </c>
      <c r="F21" s="35">
        <f t="shared" si="5"/>
        <v>363791.66666666674</v>
      </c>
      <c r="G21" s="36">
        <f t="shared" si="5"/>
        <v>1508606.3600000003</v>
      </c>
      <c r="H21" s="35">
        <f>SUM(H9:H20)</f>
        <v>1455166.666666667</v>
      </c>
      <c r="I21" s="36">
        <f t="shared" si="5"/>
        <v>4365500</v>
      </c>
      <c r="J21" s="40">
        <f t="shared" si="3"/>
        <v>0.34557470163784226</v>
      </c>
      <c r="K21" s="2"/>
    </row>
    <row r="22" spans="1:11" x14ac:dyDescent="0.2">
      <c r="A22" s="11"/>
    </row>
    <row r="23" spans="1:11" x14ac:dyDescent="0.2">
      <c r="A23" s="11" t="s">
        <v>13</v>
      </c>
      <c r="B23" s="1" t="s">
        <v>57</v>
      </c>
      <c r="C23" t="s">
        <v>58</v>
      </c>
      <c r="D23" s="8" t="s">
        <v>59</v>
      </c>
      <c r="E23" s="1" t="s">
        <v>60</v>
      </c>
      <c r="F23" s="1" t="s">
        <v>61</v>
      </c>
      <c r="G23" s="8" t="s">
        <v>62</v>
      </c>
      <c r="H23" s="1" t="s">
        <v>62</v>
      </c>
      <c r="I23" s="8" t="s">
        <v>63</v>
      </c>
      <c r="J23" s="16">
        <f>+J6</f>
        <v>0.33</v>
      </c>
    </row>
    <row r="24" spans="1:11" x14ac:dyDescent="0.2">
      <c r="A24" s="11"/>
      <c r="B24" s="1"/>
      <c r="D24" s="8"/>
      <c r="E24" s="1" t="s">
        <v>68</v>
      </c>
      <c r="F24" s="1" t="s">
        <v>65</v>
      </c>
      <c r="G24" s="8" t="s">
        <v>68</v>
      </c>
      <c r="H24" s="1" t="s">
        <v>67</v>
      </c>
      <c r="I24" s="8" t="s">
        <v>67</v>
      </c>
      <c r="J24" s="17" t="s">
        <v>65</v>
      </c>
    </row>
    <row r="25" spans="1:11" x14ac:dyDescent="0.2">
      <c r="A25" s="11"/>
      <c r="B25" s="1"/>
      <c r="D25" s="8"/>
      <c r="E25" s="1"/>
      <c r="F25" s="1"/>
      <c r="G25" s="8"/>
      <c r="H25" s="1"/>
      <c r="I25" s="8"/>
      <c r="J25" s="17" t="s">
        <v>75</v>
      </c>
    </row>
    <row r="26" spans="1:11" x14ac:dyDescent="0.2">
      <c r="A26" s="11" t="s">
        <v>14</v>
      </c>
      <c r="B26" s="13">
        <v>113528.51</v>
      </c>
      <c r="C26" s="13">
        <v>36144.400000000001</v>
      </c>
      <c r="D26" s="13">
        <v>61450.49</v>
      </c>
      <c r="E26" s="14">
        <f t="shared" ref="E26:E38" si="6">B26+C26+D26</f>
        <v>211123.4</v>
      </c>
      <c r="F26" s="14">
        <f t="shared" ref="F26:F38" si="7">I26/12</f>
        <v>84166.666666666672</v>
      </c>
      <c r="G26" s="13">
        <v>471466.47</v>
      </c>
      <c r="H26" s="14">
        <f t="shared" ref="H26:H38" si="8">F26*4</f>
        <v>336666.66666666669</v>
      </c>
      <c r="I26" s="13">
        <v>1010000</v>
      </c>
      <c r="J26" s="34">
        <f t="shared" ref="J26:J38" si="9">+G26/I26</f>
        <v>0.4667984851485148</v>
      </c>
    </row>
    <row r="27" spans="1:11" x14ac:dyDescent="0.2">
      <c r="A27" s="11" t="s">
        <v>15</v>
      </c>
      <c r="B27" s="13">
        <v>8774.19</v>
      </c>
      <c r="C27" s="13">
        <v>3390.03</v>
      </c>
      <c r="D27" s="13">
        <v>4770.0200000000004</v>
      </c>
      <c r="E27" s="14">
        <f t="shared" si="6"/>
        <v>16934.240000000002</v>
      </c>
      <c r="F27" s="14">
        <f t="shared" si="7"/>
        <v>6666.666666666667</v>
      </c>
      <c r="G27" s="13">
        <v>38950.089999999997</v>
      </c>
      <c r="H27" s="14">
        <f t="shared" si="8"/>
        <v>26666.666666666668</v>
      </c>
      <c r="I27" s="13">
        <v>80000</v>
      </c>
      <c r="J27" s="34">
        <f t="shared" si="9"/>
        <v>0.48687612499999994</v>
      </c>
    </row>
    <row r="28" spans="1:11" x14ac:dyDescent="0.2">
      <c r="A28" s="11" t="s">
        <v>16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625</v>
      </c>
      <c r="G28" s="13">
        <f t="shared" ref="G28:G37" si="10">E28</f>
        <v>0</v>
      </c>
      <c r="H28" s="14">
        <f t="shared" si="8"/>
        <v>2500</v>
      </c>
      <c r="I28" s="13">
        <v>7500</v>
      </c>
      <c r="J28" s="34">
        <f t="shared" si="9"/>
        <v>0</v>
      </c>
    </row>
    <row r="29" spans="1:11" x14ac:dyDescent="0.2">
      <c r="A29" s="11" t="s">
        <v>17</v>
      </c>
      <c r="B29" s="13">
        <v>1432.08</v>
      </c>
      <c r="C29" s="13">
        <v>754.88</v>
      </c>
      <c r="D29" s="13">
        <v>992.6</v>
      </c>
      <c r="E29" s="14">
        <f t="shared" si="6"/>
        <v>3179.56</v>
      </c>
      <c r="F29" s="14">
        <f t="shared" si="7"/>
        <v>3600</v>
      </c>
      <c r="G29" s="13">
        <v>15739.52</v>
      </c>
      <c r="H29" s="14">
        <f t="shared" si="8"/>
        <v>14400</v>
      </c>
      <c r="I29" s="13">
        <v>43200</v>
      </c>
      <c r="J29" s="34">
        <f t="shared" si="9"/>
        <v>0.36434074074074074</v>
      </c>
    </row>
    <row r="30" spans="1:11" x14ac:dyDescent="0.2">
      <c r="A30" s="11" t="s">
        <v>18</v>
      </c>
      <c r="B30" s="13">
        <v>0</v>
      </c>
      <c r="C30" s="13">
        <v>0</v>
      </c>
      <c r="D30" s="13">
        <v>0</v>
      </c>
      <c r="E30" s="14">
        <f t="shared" si="6"/>
        <v>0</v>
      </c>
      <c r="F30" s="14">
        <f t="shared" si="7"/>
        <v>8750</v>
      </c>
      <c r="G30" s="13">
        <v>105312.99</v>
      </c>
      <c r="H30" s="14">
        <f t="shared" si="8"/>
        <v>35000</v>
      </c>
      <c r="I30" s="13">
        <v>105000</v>
      </c>
      <c r="J30" s="34">
        <f t="shared" si="9"/>
        <v>1.0029808571428571</v>
      </c>
    </row>
    <row r="31" spans="1:11" x14ac:dyDescent="0.2">
      <c r="A31" s="11" t="s">
        <v>19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833.33333333333337</v>
      </c>
      <c r="G31" s="13">
        <f t="shared" si="10"/>
        <v>0</v>
      </c>
      <c r="H31" s="14">
        <f t="shared" si="8"/>
        <v>3333.3333333333335</v>
      </c>
      <c r="I31" s="13">
        <f>10000</f>
        <v>10000</v>
      </c>
      <c r="J31" s="34">
        <f t="shared" si="9"/>
        <v>0</v>
      </c>
    </row>
    <row r="32" spans="1:11" x14ac:dyDescent="0.2">
      <c r="A32" s="11" t="s">
        <v>20</v>
      </c>
      <c r="B32" s="13">
        <v>0</v>
      </c>
      <c r="C32" s="13">
        <v>0</v>
      </c>
      <c r="D32" s="13">
        <v>0</v>
      </c>
      <c r="E32" s="14">
        <f t="shared" si="6"/>
        <v>0</v>
      </c>
      <c r="F32" s="14">
        <f t="shared" si="7"/>
        <v>2083.3333333333335</v>
      </c>
      <c r="G32" s="13">
        <v>14175</v>
      </c>
      <c r="H32" s="14">
        <f t="shared" si="8"/>
        <v>8333.3333333333339</v>
      </c>
      <c r="I32" s="13">
        <v>25000</v>
      </c>
      <c r="J32" s="34">
        <f t="shared" si="9"/>
        <v>0.56699999999999995</v>
      </c>
    </row>
    <row r="33" spans="1:19" x14ac:dyDescent="0.2">
      <c r="A33" s="11" t="s">
        <v>21</v>
      </c>
      <c r="B33" s="13">
        <v>0</v>
      </c>
      <c r="C33" s="13">
        <v>0</v>
      </c>
      <c r="D33" s="13">
        <v>0</v>
      </c>
      <c r="E33" s="14">
        <f t="shared" si="6"/>
        <v>0</v>
      </c>
      <c r="F33" s="14">
        <f t="shared" si="7"/>
        <v>1750</v>
      </c>
      <c r="G33" s="13">
        <v>3467.44</v>
      </c>
      <c r="H33" s="14">
        <f t="shared" si="8"/>
        <v>7000</v>
      </c>
      <c r="I33" s="13">
        <v>21000</v>
      </c>
      <c r="J33" s="34">
        <f t="shared" si="9"/>
        <v>0.16511619047619047</v>
      </c>
    </row>
    <row r="34" spans="1:19" x14ac:dyDescent="0.2">
      <c r="A34" s="11" t="s">
        <v>22</v>
      </c>
      <c r="B34" s="13">
        <v>0</v>
      </c>
      <c r="C34" s="13">
        <v>737.14</v>
      </c>
      <c r="D34" s="13">
        <v>731</v>
      </c>
      <c r="E34" s="14">
        <f t="shared" si="6"/>
        <v>1468.1399999999999</v>
      </c>
      <c r="F34" s="14">
        <f t="shared" si="7"/>
        <v>2666.6666666666665</v>
      </c>
      <c r="G34" s="13">
        <v>5900.41</v>
      </c>
      <c r="H34" s="14">
        <f t="shared" si="8"/>
        <v>10666.666666666666</v>
      </c>
      <c r="I34" s="13">
        <v>32000</v>
      </c>
      <c r="J34" s="34">
        <f t="shared" si="9"/>
        <v>0.1843878125</v>
      </c>
    </row>
    <row r="35" spans="1:19" x14ac:dyDescent="0.2">
      <c r="A35" s="11" t="s">
        <v>23</v>
      </c>
      <c r="B35" s="13">
        <v>0</v>
      </c>
      <c r="C35" s="13">
        <v>4239.5200000000004</v>
      </c>
      <c r="D35" s="13">
        <v>4239.5200000000004</v>
      </c>
      <c r="E35" s="14">
        <f t="shared" si="6"/>
        <v>8479.0400000000009</v>
      </c>
      <c r="F35" s="14">
        <f t="shared" si="7"/>
        <v>10833.333333333334</v>
      </c>
      <c r="G35" s="13">
        <v>36049.74</v>
      </c>
      <c r="H35" s="14">
        <f t="shared" si="8"/>
        <v>43333.333333333336</v>
      </c>
      <c r="I35" s="13">
        <v>130000</v>
      </c>
      <c r="J35" s="34">
        <f t="shared" si="9"/>
        <v>0.27730569230769231</v>
      </c>
    </row>
    <row r="36" spans="1:19" x14ac:dyDescent="0.2">
      <c r="A36" s="11" t="s">
        <v>24</v>
      </c>
      <c r="B36" s="13">
        <v>0</v>
      </c>
      <c r="C36" s="13">
        <v>0</v>
      </c>
      <c r="D36" s="13">
        <v>0</v>
      </c>
      <c r="E36" s="14">
        <f t="shared" si="6"/>
        <v>0</v>
      </c>
      <c r="F36" s="14">
        <f t="shared" si="7"/>
        <v>1666.6666666666667</v>
      </c>
      <c r="G36" s="13">
        <v>428.19</v>
      </c>
      <c r="H36" s="14">
        <f t="shared" si="8"/>
        <v>6666.666666666667</v>
      </c>
      <c r="I36" s="13">
        <v>20000</v>
      </c>
      <c r="J36" s="34">
        <f t="shared" si="9"/>
        <v>2.1409500000000001E-2</v>
      </c>
    </row>
    <row r="37" spans="1:19" x14ac:dyDescent="0.2">
      <c r="A37" s="11" t="s">
        <v>25</v>
      </c>
      <c r="B37" s="13">
        <v>0</v>
      </c>
      <c r="C37" s="13">
        <v>0</v>
      </c>
      <c r="D37" s="13">
        <v>0</v>
      </c>
      <c r="E37" s="14">
        <f t="shared" si="6"/>
        <v>0</v>
      </c>
      <c r="F37" s="14">
        <f t="shared" si="7"/>
        <v>250</v>
      </c>
      <c r="G37" s="13">
        <f t="shared" si="10"/>
        <v>0</v>
      </c>
      <c r="H37" s="14">
        <f t="shared" si="8"/>
        <v>1000</v>
      </c>
      <c r="I37" s="13">
        <f>1500+1500</f>
        <v>3000</v>
      </c>
      <c r="J37" s="34">
        <f t="shared" si="9"/>
        <v>0</v>
      </c>
    </row>
    <row r="38" spans="1:19" x14ac:dyDescent="0.2">
      <c r="A38" s="11" t="s">
        <v>26</v>
      </c>
      <c r="B38" s="13">
        <v>0</v>
      </c>
      <c r="C38" s="13">
        <v>46938</v>
      </c>
      <c r="D38" s="13">
        <v>0</v>
      </c>
      <c r="E38" s="14">
        <f t="shared" si="6"/>
        <v>46938</v>
      </c>
      <c r="F38" s="14">
        <f t="shared" si="7"/>
        <v>30833.333333333332</v>
      </c>
      <c r="G38" s="13">
        <v>67163</v>
      </c>
      <c r="H38" s="14">
        <f t="shared" si="8"/>
        <v>123333.33333333333</v>
      </c>
      <c r="I38" s="13">
        <v>370000</v>
      </c>
      <c r="J38" s="34">
        <f t="shared" si="9"/>
        <v>0.18152162162162161</v>
      </c>
    </row>
    <row r="39" spans="1:19" x14ac:dyDescent="0.2">
      <c r="A39" s="11"/>
      <c r="B39" s="14"/>
      <c r="C39" s="13"/>
      <c r="D39" s="13"/>
      <c r="E39" s="14"/>
      <c r="F39" s="14"/>
      <c r="G39" s="13"/>
      <c r="H39" s="14"/>
      <c r="I39" s="13"/>
    </row>
    <row r="40" spans="1:19" x14ac:dyDescent="0.2">
      <c r="A40" s="11"/>
      <c r="B40" s="2"/>
      <c r="C40" s="6"/>
      <c r="D40" s="6"/>
      <c r="E40" s="2"/>
      <c r="F40" s="2"/>
      <c r="G40" s="6"/>
      <c r="H40" s="2"/>
      <c r="I40" s="6"/>
    </row>
    <row r="41" spans="1:19" x14ac:dyDescent="0.2">
      <c r="A41" s="11"/>
      <c r="B41" s="1"/>
      <c r="C41" s="7"/>
      <c r="D41" s="8"/>
      <c r="E41" s="1"/>
      <c r="F41" s="1"/>
      <c r="G41" s="8"/>
      <c r="H41" s="1"/>
      <c r="I41" s="8"/>
      <c r="K41" s="1"/>
      <c r="L41" s="1"/>
      <c r="N41" s="1"/>
      <c r="O41" s="1"/>
      <c r="P41" s="1"/>
      <c r="Q41" s="1"/>
      <c r="R41" s="1"/>
      <c r="S41" s="1"/>
    </row>
    <row r="42" spans="1:19" x14ac:dyDescent="0.2">
      <c r="A42" s="11"/>
      <c r="B42" s="2"/>
      <c r="C42" s="6"/>
      <c r="D42" s="6"/>
      <c r="E42" s="2"/>
      <c r="F42" s="2"/>
      <c r="G42" s="6"/>
      <c r="H42" s="2"/>
      <c r="I42" s="6"/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1" t="s">
        <v>60</v>
      </c>
      <c r="F43" s="1" t="s">
        <v>61</v>
      </c>
      <c r="G43" s="8" t="s">
        <v>62</v>
      </c>
      <c r="H43" s="1" t="s">
        <v>62</v>
      </c>
      <c r="I43" s="8" t="s">
        <v>63</v>
      </c>
      <c r="J43" s="16">
        <f>+J6</f>
        <v>0.33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/>
      <c r="B44" s="1"/>
      <c r="C44" s="7"/>
      <c r="D44" s="8"/>
      <c r="E44" s="1" t="s">
        <v>68</v>
      </c>
      <c r="F44" s="1" t="s">
        <v>65</v>
      </c>
      <c r="G44" s="8" t="s">
        <v>68</v>
      </c>
      <c r="H44" s="1" t="s">
        <v>67</v>
      </c>
      <c r="I44" s="8" t="s">
        <v>67</v>
      </c>
      <c r="J44" s="17" t="s">
        <v>65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/>
      <c r="B45" s="1"/>
      <c r="C45" s="7"/>
      <c r="D45" s="8"/>
      <c r="E45" s="1"/>
      <c r="F45" s="1"/>
      <c r="G45" s="8"/>
      <c r="H45" s="1"/>
      <c r="I45" s="8"/>
      <c r="J45" s="17" t="s">
        <v>75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27</v>
      </c>
      <c r="B46" s="6">
        <v>4883.0200000000004</v>
      </c>
      <c r="C46" s="6">
        <v>7903.06</v>
      </c>
      <c r="D46" s="6">
        <v>4388.62</v>
      </c>
      <c r="E46" s="2">
        <f t="shared" ref="E46:E72" si="11">B46+C46+D46</f>
        <v>17174.7</v>
      </c>
      <c r="F46" s="2">
        <f t="shared" ref="F46:F48" si="12">I46/12</f>
        <v>16500</v>
      </c>
      <c r="G46" s="6">
        <v>68274.59</v>
      </c>
      <c r="H46" s="14">
        <f t="shared" ref="H46:H72" si="13">F46*4</f>
        <v>66000</v>
      </c>
      <c r="I46" s="6">
        <v>198000</v>
      </c>
      <c r="J46" s="34">
        <f t="shared" ref="J46:J73" si="14">+G46/I46</f>
        <v>0.34482116161616161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28</v>
      </c>
      <c r="B47" s="13">
        <v>0</v>
      </c>
      <c r="C47" s="13">
        <v>0</v>
      </c>
      <c r="D47" s="13">
        <v>0</v>
      </c>
      <c r="E47" s="14">
        <f t="shared" si="11"/>
        <v>0</v>
      </c>
      <c r="F47" s="14">
        <f t="shared" si="12"/>
        <v>25520.833333333332</v>
      </c>
      <c r="G47" s="13">
        <v>290231</v>
      </c>
      <c r="H47" s="14">
        <f t="shared" si="13"/>
        <v>102083.33333333333</v>
      </c>
      <c r="I47" s="13">
        <v>306250</v>
      </c>
      <c r="J47" s="34">
        <f t="shared" si="14"/>
        <v>0.94769306122448982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29</v>
      </c>
      <c r="B48" s="13">
        <v>0</v>
      </c>
      <c r="C48" s="13">
        <v>359.05</v>
      </c>
      <c r="D48" s="13">
        <v>359.05</v>
      </c>
      <c r="E48" s="14">
        <f t="shared" si="11"/>
        <v>718.1</v>
      </c>
      <c r="F48" s="14">
        <f t="shared" si="12"/>
        <v>416.66666666666669</v>
      </c>
      <c r="G48" s="13">
        <v>966.1</v>
      </c>
      <c r="H48" s="14">
        <f t="shared" si="13"/>
        <v>1666.6666666666667</v>
      </c>
      <c r="I48" s="13">
        <f>2500+2500</f>
        <v>5000</v>
      </c>
      <c r="J48" s="34">
        <f t="shared" si="14"/>
        <v>0.19322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30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>I49/12</f>
        <v>1333.3333333333333</v>
      </c>
      <c r="G49" s="13">
        <v>2412.35</v>
      </c>
      <c r="H49" s="14">
        <f t="shared" si="13"/>
        <v>5333.333333333333</v>
      </c>
      <c r="I49" s="13">
        <f>8000+8000</f>
        <v>16000</v>
      </c>
      <c r="J49" s="34">
        <f t="shared" si="14"/>
        <v>0.150771875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32</v>
      </c>
      <c r="B50" s="13">
        <v>0</v>
      </c>
      <c r="C50" s="13">
        <v>0</v>
      </c>
      <c r="D50" s="13">
        <v>0</v>
      </c>
      <c r="E50" s="14">
        <f t="shared" si="11"/>
        <v>0</v>
      </c>
      <c r="F50" s="14">
        <f t="shared" ref="F50:F72" si="15">I50/12</f>
        <v>6500</v>
      </c>
      <c r="G50" s="13">
        <v>0</v>
      </c>
      <c r="H50" s="14">
        <f t="shared" si="13"/>
        <v>26000</v>
      </c>
      <c r="I50" s="13">
        <v>78000</v>
      </c>
      <c r="J50" s="34">
        <f t="shared" si="14"/>
        <v>0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33</v>
      </c>
      <c r="B51" s="13">
        <v>0</v>
      </c>
      <c r="C51" s="13">
        <v>0</v>
      </c>
      <c r="D51" s="13">
        <v>0</v>
      </c>
      <c r="E51" s="14">
        <f t="shared" si="11"/>
        <v>0</v>
      </c>
      <c r="F51" s="14">
        <f t="shared" si="15"/>
        <v>750</v>
      </c>
      <c r="G51" s="13">
        <v>1145.9100000000001</v>
      </c>
      <c r="H51" s="14">
        <f t="shared" si="13"/>
        <v>3000</v>
      </c>
      <c r="I51" s="13">
        <v>9000</v>
      </c>
      <c r="J51" s="34">
        <f t="shared" si="14"/>
        <v>0.12732333333333334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34</v>
      </c>
      <c r="B52" s="13">
        <v>0</v>
      </c>
      <c r="C52" s="13">
        <v>283.64</v>
      </c>
      <c r="D52" s="13">
        <v>262.97000000000003</v>
      </c>
      <c r="E52" s="14">
        <f t="shared" si="11"/>
        <v>546.61</v>
      </c>
      <c r="F52" s="14">
        <f t="shared" si="15"/>
        <v>1250</v>
      </c>
      <c r="G52" s="13">
        <v>4744.75</v>
      </c>
      <c r="H52" s="14">
        <f t="shared" si="13"/>
        <v>5000</v>
      </c>
      <c r="I52" s="13">
        <v>15000</v>
      </c>
      <c r="J52" s="34">
        <f t="shared" si="14"/>
        <v>0.31631666666666669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35</v>
      </c>
      <c r="B53" s="13">
        <v>0</v>
      </c>
      <c r="C53" s="13">
        <v>1276.6500000000001</v>
      </c>
      <c r="D53" s="13">
        <v>1573.69</v>
      </c>
      <c r="E53" s="14">
        <f t="shared" si="11"/>
        <v>2850.34</v>
      </c>
      <c r="F53" s="14">
        <f t="shared" si="15"/>
        <v>13750</v>
      </c>
      <c r="G53" s="13">
        <v>31639.49</v>
      </c>
      <c r="H53" s="14">
        <f t="shared" si="13"/>
        <v>55000</v>
      </c>
      <c r="I53" s="13">
        <v>165000</v>
      </c>
      <c r="J53" s="34">
        <f t="shared" si="14"/>
        <v>0.19175448484848487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36</v>
      </c>
      <c r="B54" s="13">
        <v>0</v>
      </c>
      <c r="C54" s="13">
        <v>104544.13</v>
      </c>
      <c r="D54" s="13">
        <v>0</v>
      </c>
      <c r="E54" s="14">
        <f t="shared" si="11"/>
        <v>104544.13</v>
      </c>
      <c r="F54" s="14">
        <f t="shared" si="15"/>
        <v>91666.666666666672</v>
      </c>
      <c r="G54" s="13">
        <v>346242.63</v>
      </c>
      <c r="H54" s="14">
        <f t="shared" si="13"/>
        <v>366666.66666666669</v>
      </c>
      <c r="I54" s="13">
        <v>1100000</v>
      </c>
      <c r="J54" s="34">
        <f t="shared" si="14"/>
        <v>0.31476602727272729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37</v>
      </c>
      <c r="B55" s="13">
        <v>0</v>
      </c>
      <c r="C55" s="13">
        <v>0</v>
      </c>
      <c r="D55" s="13">
        <v>0</v>
      </c>
      <c r="E55" s="14">
        <f t="shared" si="11"/>
        <v>0</v>
      </c>
      <c r="F55" s="14">
        <f t="shared" si="15"/>
        <v>875</v>
      </c>
      <c r="G55" s="13">
        <v>763.74</v>
      </c>
      <c r="H55" s="14">
        <f t="shared" si="13"/>
        <v>3500</v>
      </c>
      <c r="I55" s="13">
        <v>10500</v>
      </c>
      <c r="J55" s="34">
        <f t="shared" si="14"/>
        <v>7.2737142857142861E-2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38</v>
      </c>
      <c r="B56" s="13">
        <v>0</v>
      </c>
      <c r="C56" s="13">
        <v>7934.5</v>
      </c>
      <c r="D56" s="13">
        <v>0</v>
      </c>
      <c r="E56" s="14">
        <f t="shared" si="11"/>
        <v>7934.5</v>
      </c>
      <c r="F56" s="14">
        <f t="shared" si="15"/>
        <v>3333.3333333333335</v>
      </c>
      <c r="G56" s="13">
        <v>25639.25</v>
      </c>
      <c r="H56" s="14">
        <f t="shared" si="13"/>
        <v>13333.333333333334</v>
      </c>
      <c r="I56" s="13">
        <v>40000</v>
      </c>
      <c r="J56" s="34">
        <f t="shared" si="14"/>
        <v>0.64098124999999995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39</v>
      </c>
      <c r="B57" s="13">
        <v>0</v>
      </c>
      <c r="C57" s="13">
        <v>773.64</v>
      </c>
      <c r="D57" s="13">
        <v>0</v>
      </c>
      <c r="E57" s="14">
        <f t="shared" si="11"/>
        <v>773.64</v>
      </c>
      <c r="F57" s="14">
        <f t="shared" si="15"/>
        <v>625</v>
      </c>
      <c r="G57" s="13">
        <v>1043.92</v>
      </c>
      <c r="H57" s="14">
        <f t="shared" si="13"/>
        <v>2500</v>
      </c>
      <c r="I57" s="13">
        <v>7500</v>
      </c>
      <c r="J57" s="34">
        <f t="shared" si="14"/>
        <v>0.13918933333333333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40</v>
      </c>
      <c r="B58" s="13">
        <v>35</v>
      </c>
      <c r="C58" s="13">
        <v>0</v>
      </c>
      <c r="D58" s="13">
        <v>0</v>
      </c>
      <c r="E58" s="14">
        <f t="shared" si="11"/>
        <v>35</v>
      </c>
      <c r="F58" s="14">
        <f t="shared" si="15"/>
        <v>875</v>
      </c>
      <c r="G58" s="13">
        <v>2040.99</v>
      </c>
      <c r="H58" s="14">
        <f t="shared" si="13"/>
        <v>3500</v>
      </c>
      <c r="I58" s="13">
        <v>10500</v>
      </c>
      <c r="J58" s="34">
        <f t="shared" si="14"/>
        <v>0.19438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41</v>
      </c>
      <c r="B59" s="13">
        <v>2843.96</v>
      </c>
      <c r="C59" s="13">
        <v>470.13</v>
      </c>
      <c r="D59" s="13">
        <v>0</v>
      </c>
      <c r="E59" s="14">
        <f t="shared" si="11"/>
        <v>3314.09</v>
      </c>
      <c r="F59" s="14">
        <f t="shared" si="15"/>
        <v>2500</v>
      </c>
      <c r="G59" s="13">
        <v>21728.799999999999</v>
      </c>
      <c r="H59" s="14">
        <f t="shared" si="13"/>
        <v>10000</v>
      </c>
      <c r="I59" s="13">
        <v>30000</v>
      </c>
      <c r="J59" s="34">
        <f t="shared" si="14"/>
        <v>0.72429333333333334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42</v>
      </c>
      <c r="B60" s="13">
        <v>0</v>
      </c>
      <c r="C60" s="13">
        <v>4263.43</v>
      </c>
      <c r="D60" s="13">
        <v>0</v>
      </c>
      <c r="E60" s="14">
        <f t="shared" si="11"/>
        <v>4263.43</v>
      </c>
      <c r="F60" s="14">
        <f t="shared" si="15"/>
        <v>13333.333333333334</v>
      </c>
      <c r="G60" s="13">
        <v>34673.47</v>
      </c>
      <c r="H60" s="14">
        <f t="shared" si="13"/>
        <v>53333.333333333336</v>
      </c>
      <c r="I60" s="13">
        <v>160000</v>
      </c>
      <c r="J60" s="34">
        <f t="shared" si="14"/>
        <v>0.21670918750000001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43</v>
      </c>
      <c r="B61" s="13">
        <v>0</v>
      </c>
      <c r="C61" s="13">
        <v>4691.88</v>
      </c>
      <c r="D61" s="13">
        <v>0</v>
      </c>
      <c r="E61" s="14">
        <f t="shared" si="11"/>
        <v>4691.88</v>
      </c>
      <c r="F61" s="14">
        <f t="shared" si="15"/>
        <v>3333.3333333333335</v>
      </c>
      <c r="G61" s="13">
        <v>17602.27</v>
      </c>
      <c r="H61" s="14">
        <f t="shared" si="13"/>
        <v>13333.333333333334</v>
      </c>
      <c r="I61" s="13">
        <v>40000</v>
      </c>
      <c r="J61" s="34">
        <f t="shared" si="14"/>
        <v>0.44005675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44</v>
      </c>
      <c r="B62" s="13">
        <v>0</v>
      </c>
      <c r="C62" s="13">
        <v>0</v>
      </c>
      <c r="D62" s="13">
        <v>0</v>
      </c>
      <c r="E62" s="14">
        <f t="shared" si="11"/>
        <v>0</v>
      </c>
      <c r="F62" s="14">
        <f t="shared" si="15"/>
        <v>1583.3333333333333</v>
      </c>
      <c r="G62" s="13">
        <v>22802</v>
      </c>
      <c r="H62" s="14">
        <f t="shared" si="13"/>
        <v>6333.333333333333</v>
      </c>
      <c r="I62" s="13">
        <v>19000</v>
      </c>
      <c r="J62" s="34">
        <f t="shared" si="14"/>
        <v>1.2001052631578948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45</v>
      </c>
      <c r="B63" s="13">
        <v>0</v>
      </c>
      <c r="C63" s="13">
        <v>1212.4000000000001</v>
      </c>
      <c r="D63" s="13">
        <v>0</v>
      </c>
      <c r="E63" s="14">
        <f t="shared" si="11"/>
        <v>1212.4000000000001</v>
      </c>
      <c r="F63" s="14">
        <f t="shared" si="15"/>
        <v>1416.6666666666667</v>
      </c>
      <c r="G63" s="13">
        <v>9504.85</v>
      </c>
      <c r="H63" s="14">
        <f t="shared" si="13"/>
        <v>5666.666666666667</v>
      </c>
      <c r="I63" s="13">
        <v>17000</v>
      </c>
      <c r="J63" s="34">
        <f t="shared" si="14"/>
        <v>0.55910882352941182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46</v>
      </c>
      <c r="B64" s="13">
        <v>0</v>
      </c>
      <c r="C64" s="13">
        <v>0</v>
      </c>
      <c r="D64" s="13">
        <v>0</v>
      </c>
      <c r="E64" s="14">
        <f t="shared" si="11"/>
        <v>0</v>
      </c>
      <c r="F64" s="14">
        <f t="shared" si="15"/>
        <v>1666.6666666666667</v>
      </c>
      <c r="G64" s="13">
        <v>7826.05</v>
      </c>
      <c r="H64" s="14">
        <f t="shared" si="13"/>
        <v>6666.666666666667</v>
      </c>
      <c r="I64" s="13">
        <v>20000</v>
      </c>
      <c r="J64" s="34">
        <f t="shared" si="14"/>
        <v>0.3913025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47</v>
      </c>
      <c r="B65" s="13">
        <v>17257.75</v>
      </c>
      <c r="C65" s="13">
        <v>0</v>
      </c>
      <c r="D65" s="13">
        <v>0</v>
      </c>
      <c r="E65" s="14">
        <f t="shared" si="11"/>
        <v>17257.75</v>
      </c>
      <c r="F65" s="14">
        <f t="shared" si="15"/>
        <v>12541.666666666666</v>
      </c>
      <c r="G65" s="13">
        <v>51739.49</v>
      </c>
      <c r="H65" s="14">
        <f t="shared" si="13"/>
        <v>50166.666666666664</v>
      </c>
      <c r="I65" s="13">
        <v>150500</v>
      </c>
      <c r="J65" s="34">
        <f t="shared" si="14"/>
        <v>0.34378398671096344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48</v>
      </c>
      <c r="B66" s="13">
        <v>115</v>
      </c>
      <c r="C66" s="13">
        <v>0</v>
      </c>
      <c r="D66" s="13">
        <v>0</v>
      </c>
      <c r="E66" s="14">
        <f t="shared" si="11"/>
        <v>115</v>
      </c>
      <c r="F66" s="14">
        <f t="shared" si="15"/>
        <v>83.333333333333329</v>
      </c>
      <c r="G66" s="13">
        <f t="shared" ref="G66:G72" si="16">E66</f>
        <v>115</v>
      </c>
      <c r="H66" s="14">
        <f t="shared" si="13"/>
        <v>333.33333333333331</v>
      </c>
      <c r="I66" s="13">
        <v>1000</v>
      </c>
      <c r="J66" s="34">
        <f t="shared" si="14"/>
        <v>0.115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49</v>
      </c>
      <c r="B67" s="13">
        <v>295</v>
      </c>
      <c r="C67" s="13">
        <v>0</v>
      </c>
      <c r="D67" s="13">
        <v>0</v>
      </c>
      <c r="E67" s="14">
        <f t="shared" si="11"/>
        <v>295</v>
      </c>
      <c r="F67" s="14">
        <f t="shared" si="15"/>
        <v>208.33333333333334</v>
      </c>
      <c r="G67" s="13">
        <v>637.75</v>
      </c>
      <c r="H67" s="14">
        <f t="shared" si="13"/>
        <v>833.33333333333337</v>
      </c>
      <c r="I67" s="13">
        <v>2500</v>
      </c>
      <c r="J67" s="34">
        <f t="shared" si="14"/>
        <v>0.25509999999999999</v>
      </c>
      <c r="K67" s="1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11" t="s">
        <v>50</v>
      </c>
      <c r="B68" s="13">
        <v>1953</v>
      </c>
      <c r="C68" s="13">
        <v>0</v>
      </c>
      <c r="D68" s="13">
        <v>0</v>
      </c>
      <c r="E68" s="14">
        <f t="shared" si="11"/>
        <v>1953</v>
      </c>
      <c r="F68" s="14">
        <f t="shared" si="15"/>
        <v>2500</v>
      </c>
      <c r="G68" s="13">
        <v>13790.5</v>
      </c>
      <c r="H68" s="14">
        <f t="shared" si="13"/>
        <v>10000</v>
      </c>
      <c r="I68" s="13">
        <v>30000</v>
      </c>
      <c r="J68" s="34">
        <f t="shared" si="14"/>
        <v>0.45968333333333333</v>
      </c>
      <c r="K68" s="1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11" t="s">
        <v>52</v>
      </c>
      <c r="B69" s="13">
        <v>0</v>
      </c>
      <c r="C69" s="13">
        <v>4615.17</v>
      </c>
      <c r="D69" s="13">
        <v>0</v>
      </c>
      <c r="E69" s="14">
        <f t="shared" si="11"/>
        <v>4615.17</v>
      </c>
      <c r="F69" s="14">
        <f t="shared" si="15"/>
        <v>4000</v>
      </c>
      <c r="G69" s="13">
        <v>16040.34</v>
      </c>
      <c r="H69" s="14">
        <f t="shared" si="13"/>
        <v>16000</v>
      </c>
      <c r="I69" s="13">
        <v>48000</v>
      </c>
      <c r="J69" s="34">
        <f t="shared" si="14"/>
        <v>0.33417374999999999</v>
      </c>
      <c r="K69" s="1"/>
      <c r="L69" s="2"/>
      <c r="M69" s="2"/>
      <c r="N69" s="2"/>
      <c r="O69" s="3"/>
      <c r="Q69" s="3"/>
    </row>
    <row r="70" spans="1:19" x14ac:dyDescent="0.2">
      <c r="A70" s="11" t="s">
        <v>53</v>
      </c>
      <c r="B70" s="13">
        <v>0</v>
      </c>
      <c r="C70" s="13">
        <v>328.21</v>
      </c>
      <c r="D70" s="13">
        <v>0</v>
      </c>
      <c r="E70" s="14">
        <f t="shared" si="11"/>
        <v>328.21</v>
      </c>
      <c r="F70" s="14">
        <f t="shared" si="15"/>
        <v>833.33333333333337</v>
      </c>
      <c r="G70" s="13">
        <v>3083.66</v>
      </c>
      <c r="H70" s="14">
        <f t="shared" si="13"/>
        <v>3333.3333333333335</v>
      </c>
      <c r="I70" s="13">
        <v>10000</v>
      </c>
      <c r="J70" s="34">
        <f t="shared" si="14"/>
        <v>0.30836599999999997</v>
      </c>
    </row>
    <row r="71" spans="1:19" x14ac:dyDescent="0.2">
      <c r="A71" s="11" t="s">
        <v>54</v>
      </c>
      <c r="B71" s="13">
        <v>0</v>
      </c>
      <c r="C71" s="13">
        <v>0</v>
      </c>
      <c r="D71" s="13">
        <v>0</v>
      </c>
      <c r="E71" s="14">
        <f t="shared" si="11"/>
        <v>0</v>
      </c>
      <c r="F71" s="14">
        <f t="shared" si="15"/>
        <v>4.166666666666667</v>
      </c>
      <c r="G71" s="13">
        <f t="shared" si="16"/>
        <v>0</v>
      </c>
      <c r="H71" s="14">
        <f t="shared" si="13"/>
        <v>16.666666666666668</v>
      </c>
      <c r="I71" s="13">
        <v>50</v>
      </c>
      <c r="J71" s="34">
        <f t="shared" si="14"/>
        <v>0</v>
      </c>
    </row>
    <row r="72" spans="1:19" x14ac:dyDescent="0.2">
      <c r="A72" s="11" t="s">
        <v>72</v>
      </c>
      <c r="B72" s="13">
        <v>0</v>
      </c>
      <c r="C72" s="13">
        <v>0</v>
      </c>
      <c r="D72" s="13">
        <v>0</v>
      </c>
      <c r="E72" s="14">
        <f t="shared" si="11"/>
        <v>0</v>
      </c>
      <c r="F72" s="14">
        <f t="shared" si="15"/>
        <v>1666.6666666666667</v>
      </c>
      <c r="G72" s="13">
        <f t="shared" si="16"/>
        <v>0</v>
      </c>
      <c r="H72" s="14">
        <f t="shared" si="13"/>
        <v>6666.666666666667</v>
      </c>
      <c r="I72" s="13">
        <v>20000</v>
      </c>
      <c r="J72" s="33">
        <f t="shared" si="14"/>
        <v>0</v>
      </c>
    </row>
    <row r="73" spans="1:19" x14ac:dyDescent="0.2">
      <c r="A73" s="11" t="s">
        <v>55</v>
      </c>
      <c r="B73" s="35">
        <f t="shared" ref="B73:H73" si="17">SUM(B26:B72)</f>
        <v>151117.51</v>
      </c>
      <c r="C73" s="35">
        <f t="shared" si="17"/>
        <v>230859.86000000002</v>
      </c>
      <c r="D73" s="36">
        <f t="shared" si="17"/>
        <v>78767.960000000006</v>
      </c>
      <c r="E73" s="35">
        <f t="shared" si="17"/>
        <v>460745.33000000007</v>
      </c>
      <c r="F73" s="35">
        <f t="shared" si="17"/>
        <v>363791.66666666663</v>
      </c>
      <c r="G73" s="36">
        <f t="shared" si="17"/>
        <v>1733341.75</v>
      </c>
      <c r="H73" s="35">
        <f t="shared" si="17"/>
        <v>1455166.6666666665</v>
      </c>
      <c r="I73" s="36">
        <f>SUM(I46:I72)+SUM(I26:I38)</f>
        <v>4365500</v>
      </c>
      <c r="J73" s="37">
        <f t="shared" si="14"/>
        <v>0.39705457564998281</v>
      </c>
    </row>
    <row r="74" spans="1:19" x14ac:dyDescent="0.2">
      <c r="B74" s="14"/>
      <c r="C74" s="14" t="s">
        <v>69</v>
      </c>
      <c r="D74" s="13"/>
      <c r="E74" s="14"/>
      <c r="F74" s="14"/>
      <c r="G74" s="13"/>
      <c r="H74" s="14"/>
      <c r="I74" s="13"/>
    </row>
    <row r="75" spans="1:19" ht="13.5" thickBot="1" x14ac:dyDescent="0.25">
      <c r="A75" s="11" t="s">
        <v>56</v>
      </c>
      <c r="B75" s="38">
        <f t="shared" ref="B75:G75" si="18">B21-B73</f>
        <v>-151117.51</v>
      </c>
      <c r="C75" s="38">
        <f t="shared" si="18"/>
        <v>9397.0899999999965</v>
      </c>
      <c r="D75" s="39">
        <f t="shared" si="18"/>
        <v>76946.42</v>
      </c>
      <c r="E75" s="38">
        <f t="shared" si="18"/>
        <v>-64774</v>
      </c>
      <c r="F75" s="38">
        <f t="shared" si="18"/>
        <v>0</v>
      </c>
      <c r="G75" s="39">
        <f t="shared" si="18"/>
        <v>-224735.38999999966</v>
      </c>
      <c r="H75" s="10"/>
      <c r="I75" s="12"/>
    </row>
    <row r="76" spans="1:19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0532-5253-4BB6-AED2-0D644BEE0352}">
  <dimension ref="A1:T76"/>
  <sheetViews>
    <sheetView zoomScaleNormal="100" workbookViewId="0">
      <pane xSplit="1" ySplit="8" topLeftCell="B67" activePane="bottomRight" state="frozen"/>
      <selection pane="topRight" activeCell="B1" sqref="B1"/>
      <selection pane="bottomLeft" activeCell="A9" sqref="A9"/>
      <selection pane="bottomRight" activeCell="M38" sqref="M38"/>
    </sheetView>
  </sheetViews>
  <sheetFormatPr defaultRowHeight="12.75" x14ac:dyDescent="0.2"/>
  <cols>
    <col min="1" max="1" width="20.5703125" style="10" customWidth="1"/>
    <col min="2" max="2" width="10.42578125" bestFit="1" customWidth="1"/>
    <col min="3" max="3" width="9.85546875" bestFit="1" customWidth="1"/>
    <col min="4" max="4" width="11.140625" style="7" customWidth="1"/>
    <col min="5" max="5" width="9.42578125" style="7" bestFit="1" customWidth="1"/>
    <col min="6" max="6" width="10.140625" bestFit="1" customWidth="1"/>
    <col min="7" max="7" width="9.85546875" bestFit="1" customWidth="1"/>
    <col min="8" max="8" width="11.28515625" style="7" bestFit="1" customWidth="1"/>
    <col min="9" max="9" width="11.28515625" bestFit="1" customWidth="1"/>
    <col min="10" max="10" width="12" style="7" customWidth="1"/>
    <col min="11" max="11" width="8.42578125" customWidth="1"/>
    <col min="12" max="12" width="11.7109375" bestFit="1" customWidth="1"/>
  </cols>
  <sheetData>
    <row r="1" spans="1:11" ht="15.75" x14ac:dyDescent="0.25">
      <c r="D1" s="31" t="s">
        <v>74</v>
      </c>
      <c r="E1" s="31"/>
    </row>
    <row r="3" spans="1:11" ht="15.75" x14ac:dyDescent="0.25">
      <c r="D3" s="31" t="s">
        <v>89</v>
      </c>
      <c r="E3" s="31"/>
    </row>
    <row r="6" spans="1:11" x14ac:dyDescent="0.2">
      <c r="B6" s="1" t="s">
        <v>57</v>
      </c>
      <c r="C6" t="s">
        <v>58</v>
      </c>
      <c r="D6" s="8" t="s">
        <v>59</v>
      </c>
      <c r="E6" s="41" t="s">
        <v>90</v>
      </c>
      <c r="F6" s="1" t="s">
        <v>60</v>
      </c>
      <c r="G6" s="1" t="s">
        <v>61</v>
      </c>
      <c r="H6" s="8" t="s">
        <v>62</v>
      </c>
      <c r="I6" s="1" t="s">
        <v>62</v>
      </c>
      <c r="J6" s="8" t="s">
        <v>63</v>
      </c>
      <c r="K6" s="16">
        <v>0.33</v>
      </c>
    </row>
    <row r="7" spans="1:11" x14ac:dyDescent="0.2">
      <c r="B7" s="1"/>
      <c r="D7" s="8"/>
      <c r="E7" s="41" t="s">
        <v>88</v>
      </c>
      <c r="F7" s="1" t="s">
        <v>64</v>
      </c>
      <c r="G7" s="1" t="s">
        <v>65</v>
      </c>
      <c r="H7" s="8" t="s">
        <v>66</v>
      </c>
      <c r="I7" s="1" t="s">
        <v>67</v>
      </c>
      <c r="J7" s="8" t="s">
        <v>67</v>
      </c>
      <c r="K7" s="17" t="s">
        <v>65</v>
      </c>
    </row>
    <row r="8" spans="1:11" x14ac:dyDescent="0.2">
      <c r="A8" s="11" t="s">
        <v>0</v>
      </c>
      <c r="K8" s="17" t="s">
        <v>75</v>
      </c>
    </row>
    <row r="9" spans="1:11" x14ac:dyDescent="0.2">
      <c r="A9" s="11" t="s">
        <v>1</v>
      </c>
      <c r="B9" s="13">
        <v>0</v>
      </c>
      <c r="C9" s="13">
        <v>0</v>
      </c>
      <c r="D9" s="13">
        <v>139765.41</v>
      </c>
      <c r="E9" s="13">
        <v>0</v>
      </c>
      <c r="F9" s="14">
        <f>SUM(B9:E9)</f>
        <v>139765.41</v>
      </c>
      <c r="G9" s="14">
        <f>J9/12</f>
        <v>148333.33333333334</v>
      </c>
      <c r="H9" s="13">
        <v>563108.97</v>
      </c>
      <c r="I9" s="14">
        <f>G9*4</f>
        <v>593333.33333333337</v>
      </c>
      <c r="J9" s="13">
        <v>1780000</v>
      </c>
      <c r="K9" s="32">
        <f>+H9/J9</f>
        <v>0.31635335393258424</v>
      </c>
    </row>
    <row r="10" spans="1:11" x14ac:dyDescent="0.2">
      <c r="A10" s="11" t="s">
        <v>2</v>
      </c>
      <c r="B10" s="13">
        <v>0</v>
      </c>
      <c r="C10" s="13">
        <v>935.14</v>
      </c>
      <c r="D10" s="13">
        <v>5830.97</v>
      </c>
      <c r="E10" s="13">
        <v>0</v>
      </c>
      <c r="F10" s="14">
        <f t="shared" ref="F10:F20" si="0">SUM(B10:E10)</f>
        <v>6766.1100000000006</v>
      </c>
      <c r="G10" s="14">
        <f t="shared" ref="G10:G20" si="1">J10/12</f>
        <v>6083.333333333333</v>
      </c>
      <c r="H10" s="13">
        <v>26412.09</v>
      </c>
      <c r="I10" s="14">
        <f t="shared" ref="I10:I20" si="2">G10*4</f>
        <v>24333.333333333332</v>
      </c>
      <c r="J10" s="13">
        <v>73000</v>
      </c>
      <c r="K10" s="32">
        <f t="shared" ref="K10:K21" si="3">+H10/J10</f>
        <v>0.36180945205479453</v>
      </c>
    </row>
    <row r="11" spans="1:11" x14ac:dyDescent="0.2">
      <c r="A11" s="11" t="s">
        <v>71</v>
      </c>
      <c r="B11" s="13">
        <v>0</v>
      </c>
      <c r="C11" s="13">
        <v>0</v>
      </c>
      <c r="D11" s="13">
        <v>0</v>
      </c>
      <c r="E11" s="13">
        <v>0</v>
      </c>
      <c r="F11" s="14">
        <f t="shared" si="0"/>
        <v>0</v>
      </c>
      <c r="G11" s="14">
        <f t="shared" si="1"/>
        <v>1250</v>
      </c>
      <c r="H11" s="13">
        <f t="shared" ref="H11" si="4">F11</f>
        <v>0</v>
      </c>
      <c r="I11" s="14">
        <f t="shared" si="2"/>
        <v>5000</v>
      </c>
      <c r="J11" s="13">
        <v>15000</v>
      </c>
      <c r="K11" s="32">
        <f t="shared" si="3"/>
        <v>0</v>
      </c>
    </row>
    <row r="12" spans="1:11" x14ac:dyDescent="0.2">
      <c r="A12" s="11" t="s">
        <v>3</v>
      </c>
      <c r="B12" s="13">
        <v>0</v>
      </c>
      <c r="C12" s="13">
        <v>0</v>
      </c>
      <c r="D12" s="13">
        <v>7622.75</v>
      </c>
      <c r="E12" s="13">
        <v>0</v>
      </c>
      <c r="F12" s="14">
        <f t="shared" si="0"/>
        <v>7622.75</v>
      </c>
      <c r="G12" s="14">
        <f t="shared" si="1"/>
        <v>3333.3333333333335</v>
      </c>
      <c r="H12" s="13">
        <v>15388.79</v>
      </c>
      <c r="I12" s="14">
        <f t="shared" si="2"/>
        <v>13333.333333333334</v>
      </c>
      <c r="J12" s="13">
        <v>40000</v>
      </c>
      <c r="K12" s="32">
        <f t="shared" si="3"/>
        <v>0.38471975000000003</v>
      </c>
    </row>
    <row r="13" spans="1:11" x14ac:dyDescent="0.2">
      <c r="A13" s="11" t="s">
        <v>4</v>
      </c>
      <c r="B13" s="13">
        <v>0</v>
      </c>
      <c r="C13" s="13">
        <v>0</v>
      </c>
      <c r="D13" s="13">
        <v>2495.25</v>
      </c>
      <c r="E13" s="13">
        <v>0</v>
      </c>
      <c r="F13" s="14">
        <f t="shared" si="0"/>
        <v>2495.25</v>
      </c>
      <c r="G13" s="14">
        <f t="shared" si="1"/>
        <v>8333.3333333333339</v>
      </c>
      <c r="H13" s="13">
        <v>81250.64</v>
      </c>
      <c r="I13" s="14">
        <f t="shared" si="2"/>
        <v>33333.333333333336</v>
      </c>
      <c r="J13" s="13">
        <v>100000</v>
      </c>
      <c r="K13" s="32">
        <f t="shared" si="3"/>
        <v>0.81250639999999996</v>
      </c>
    </row>
    <row r="14" spans="1:11" x14ac:dyDescent="0.2">
      <c r="A14" s="11" t="s">
        <v>5</v>
      </c>
      <c r="B14" s="13">
        <v>0</v>
      </c>
      <c r="C14" s="13">
        <v>142125.17000000001</v>
      </c>
      <c r="D14" s="13">
        <v>0</v>
      </c>
      <c r="E14" s="13">
        <v>0</v>
      </c>
      <c r="F14" s="14">
        <f t="shared" si="0"/>
        <v>142125.17000000001</v>
      </c>
      <c r="G14" s="14">
        <f t="shared" si="1"/>
        <v>121666.66666666667</v>
      </c>
      <c r="H14" s="13">
        <v>470194.84</v>
      </c>
      <c r="I14" s="14">
        <f t="shared" si="2"/>
        <v>486666.66666666669</v>
      </c>
      <c r="J14" s="13">
        <v>1460000</v>
      </c>
      <c r="K14" s="32">
        <f t="shared" si="3"/>
        <v>0.32205126027397263</v>
      </c>
    </row>
    <row r="15" spans="1:11" x14ac:dyDescent="0.2">
      <c r="A15" s="11" t="s">
        <v>6</v>
      </c>
      <c r="B15" s="13">
        <v>0</v>
      </c>
      <c r="C15" s="13">
        <v>519.9</v>
      </c>
      <c r="D15" s="13">
        <v>0</v>
      </c>
      <c r="E15" s="13">
        <v>0</v>
      </c>
      <c r="F15" s="14">
        <f t="shared" si="0"/>
        <v>519.9</v>
      </c>
      <c r="G15" s="14">
        <f t="shared" si="1"/>
        <v>916.66666666666663</v>
      </c>
      <c r="H15" s="13">
        <v>2553.58</v>
      </c>
      <c r="I15" s="14">
        <f t="shared" si="2"/>
        <v>3666.6666666666665</v>
      </c>
      <c r="J15" s="13">
        <v>11000</v>
      </c>
      <c r="K15" s="32">
        <f t="shared" si="3"/>
        <v>0.23214363636363636</v>
      </c>
    </row>
    <row r="16" spans="1:11" x14ac:dyDescent="0.2">
      <c r="A16" s="11" t="s">
        <v>7</v>
      </c>
      <c r="B16" s="13">
        <v>0</v>
      </c>
      <c r="C16" s="13">
        <v>0</v>
      </c>
      <c r="D16" s="13">
        <v>0</v>
      </c>
      <c r="E16" s="13">
        <v>27137.58</v>
      </c>
      <c r="F16" s="14">
        <f t="shared" si="0"/>
        <v>27137.58</v>
      </c>
      <c r="G16" s="14">
        <f t="shared" si="1"/>
        <v>15833.333333333334</v>
      </c>
      <c r="H16" s="13">
        <v>98140.59</v>
      </c>
      <c r="I16" s="14">
        <f t="shared" si="2"/>
        <v>63333.333333333336</v>
      </c>
      <c r="J16" s="13">
        <v>190000</v>
      </c>
      <c r="K16" s="32">
        <f t="shared" si="3"/>
        <v>0.51652942105263155</v>
      </c>
    </row>
    <row r="17" spans="1:12" x14ac:dyDescent="0.2">
      <c r="A17" s="11" t="s">
        <v>8</v>
      </c>
      <c r="B17" s="13">
        <v>0</v>
      </c>
      <c r="C17" s="13">
        <v>400.11</v>
      </c>
      <c r="D17" s="13">
        <v>0</v>
      </c>
      <c r="E17" s="13">
        <v>0</v>
      </c>
      <c r="F17" s="14">
        <f t="shared" si="0"/>
        <v>400.11</v>
      </c>
      <c r="G17" s="14">
        <f t="shared" si="1"/>
        <v>625</v>
      </c>
      <c r="H17" s="13">
        <v>1396.01</v>
      </c>
      <c r="I17" s="14">
        <f t="shared" si="2"/>
        <v>2500</v>
      </c>
      <c r="J17" s="13">
        <v>7500</v>
      </c>
      <c r="K17" s="32">
        <f t="shared" si="3"/>
        <v>0.18613466666666667</v>
      </c>
    </row>
    <row r="18" spans="1:12" x14ac:dyDescent="0.2">
      <c r="A18" s="11" t="s">
        <v>9</v>
      </c>
      <c r="B18" s="13">
        <v>0</v>
      </c>
      <c r="C18" s="13">
        <v>5296.85</v>
      </c>
      <c r="D18" s="13">
        <v>0</v>
      </c>
      <c r="E18" s="13">
        <v>0</v>
      </c>
      <c r="F18" s="14">
        <f t="shared" si="0"/>
        <v>5296.85</v>
      </c>
      <c r="G18" s="14">
        <f t="shared" si="1"/>
        <v>4166.666666666667</v>
      </c>
      <c r="H18" s="13">
        <v>13266.36</v>
      </c>
      <c r="I18" s="14">
        <f t="shared" si="2"/>
        <v>16666.666666666668</v>
      </c>
      <c r="J18" s="13">
        <v>50000</v>
      </c>
      <c r="K18" s="32">
        <f t="shared" si="3"/>
        <v>0.26532719999999999</v>
      </c>
    </row>
    <row r="19" spans="1:12" x14ac:dyDescent="0.2">
      <c r="A19" s="11" t="s">
        <v>10</v>
      </c>
      <c r="B19" s="13">
        <v>0</v>
      </c>
      <c r="C19" s="13">
        <v>50093.7</v>
      </c>
      <c r="D19" s="13">
        <v>0</v>
      </c>
      <c r="E19" s="13">
        <v>0</v>
      </c>
      <c r="F19" s="14">
        <f t="shared" si="0"/>
        <v>50093.7</v>
      </c>
      <c r="G19" s="14">
        <f t="shared" si="1"/>
        <v>48666.666666666664</v>
      </c>
      <c r="H19" s="13">
        <v>197682.14</v>
      </c>
      <c r="I19" s="14">
        <f t="shared" si="2"/>
        <v>194666.66666666666</v>
      </c>
      <c r="J19" s="13">
        <v>584000</v>
      </c>
      <c r="K19" s="32">
        <f t="shared" si="3"/>
        <v>0.33849681506849316</v>
      </c>
    </row>
    <row r="20" spans="1:12" x14ac:dyDescent="0.2">
      <c r="A20" s="11" t="s">
        <v>11</v>
      </c>
      <c r="B20" s="13">
        <v>0</v>
      </c>
      <c r="C20" s="13">
        <v>0</v>
      </c>
      <c r="D20" s="13">
        <v>0</v>
      </c>
      <c r="E20" s="13">
        <v>13748.5</v>
      </c>
      <c r="F20" s="14">
        <f t="shared" si="0"/>
        <v>13748.5</v>
      </c>
      <c r="G20" s="14">
        <f t="shared" si="1"/>
        <v>4583.333333333333</v>
      </c>
      <c r="H20" s="13">
        <v>39212.35</v>
      </c>
      <c r="I20" s="14">
        <f t="shared" si="2"/>
        <v>18333.333333333332</v>
      </c>
      <c r="J20" s="13">
        <v>55000</v>
      </c>
      <c r="K20" s="33">
        <f t="shared" si="3"/>
        <v>0.71295181818181819</v>
      </c>
    </row>
    <row r="21" spans="1:12" x14ac:dyDescent="0.2">
      <c r="A21" s="11" t="s">
        <v>12</v>
      </c>
      <c r="B21" s="35">
        <f t="shared" ref="B21:J21" si="5">SUM(B9:B20)</f>
        <v>0</v>
      </c>
      <c r="C21" s="35">
        <f t="shared" si="5"/>
        <v>199370.87</v>
      </c>
      <c r="D21" s="36">
        <f t="shared" si="5"/>
        <v>155714.38</v>
      </c>
      <c r="E21" s="36">
        <f t="shared" si="5"/>
        <v>40886.080000000002</v>
      </c>
      <c r="F21" s="35">
        <f t="shared" si="5"/>
        <v>395971.33000000007</v>
      </c>
      <c r="G21" s="35">
        <f t="shared" si="5"/>
        <v>363791.66666666674</v>
      </c>
      <c r="H21" s="36">
        <f t="shared" si="5"/>
        <v>1508606.3600000003</v>
      </c>
      <c r="I21" s="35">
        <f>SUM(I9:I20)</f>
        <v>1455166.666666667</v>
      </c>
      <c r="J21" s="36">
        <f t="shared" si="5"/>
        <v>4365500</v>
      </c>
      <c r="K21" s="40">
        <f t="shared" si="3"/>
        <v>0.34557470163784226</v>
      </c>
      <c r="L21" s="2"/>
    </row>
    <row r="22" spans="1:12" x14ac:dyDescent="0.2">
      <c r="A22" s="11"/>
    </row>
    <row r="23" spans="1:12" x14ac:dyDescent="0.2">
      <c r="A23" s="11" t="s">
        <v>13</v>
      </c>
      <c r="B23" s="1" t="s">
        <v>57</v>
      </c>
      <c r="C23" t="s">
        <v>58</v>
      </c>
      <c r="D23" s="8" t="s">
        <v>59</v>
      </c>
      <c r="E23" s="41" t="s">
        <v>90</v>
      </c>
      <c r="F23" s="1" t="s">
        <v>60</v>
      </c>
      <c r="G23" s="1" t="s">
        <v>61</v>
      </c>
      <c r="H23" s="8" t="s">
        <v>62</v>
      </c>
      <c r="I23" s="1" t="s">
        <v>62</v>
      </c>
      <c r="J23" s="8" t="s">
        <v>63</v>
      </c>
      <c r="K23" s="16">
        <f>+K6</f>
        <v>0.33</v>
      </c>
    </row>
    <row r="24" spans="1:12" x14ac:dyDescent="0.2">
      <c r="A24" s="11"/>
      <c r="B24" s="1"/>
      <c r="D24" s="8"/>
      <c r="E24" s="41" t="s">
        <v>88</v>
      </c>
      <c r="F24" s="1" t="s">
        <v>68</v>
      </c>
      <c r="G24" s="1" t="s">
        <v>65</v>
      </c>
      <c r="H24" s="8" t="s">
        <v>68</v>
      </c>
      <c r="I24" s="1" t="s">
        <v>67</v>
      </c>
      <c r="J24" s="8" t="s">
        <v>67</v>
      </c>
      <c r="K24" s="17" t="s">
        <v>65</v>
      </c>
    </row>
    <row r="25" spans="1:12" x14ac:dyDescent="0.2">
      <c r="A25" s="11"/>
      <c r="B25" s="1"/>
      <c r="D25" s="8"/>
      <c r="E25" s="8"/>
      <c r="F25" s="1"/>
      <c r="G25" s="1"/>
      <c r="H25" s="8"/>
      <c r="I25" s="1"/>
      <c r="J25" s="8"/>
      <c r="K25" s="17" t="s">
        <v>75</v>
      </c>
    </row>
    <row r="26" spans="1:12" x14ac:dyDescent="0.2">
      <c r="A26" s="11" t="s">
        <v>14</v>
      </c>
      <c r="B26" s="13">
        <v>113528.51</v>
      </c>
      <c r="C26" s="13">
        <v>34541.760000000002</v>
      </c>
      <c r="D26" s="13">
        <v>61450.49</v>
      </c>
      <c r="E26" s="13">
        <v>1602.64</v>
      </c>
      <c r="F26" s="14">
        <f t="shared" ref="F26:F38" si="6">SUM(B26:E26)</f>
        <v>211123.4</v>
      </c>
      <c r="G26" s="14">
        <f t="shared" ref="G26:G38" si="7">J26/12</f>
        <v>84166.666666666672</v>
      </c>
      <c r="H26" s="13">
        <v>471466.47</v>
      </c>
      <c r="I26" s="14">
        <f t="shared" ref="I26:I38" si="8">G26*4</f>
        <v>336666.66666666669</v>
      </c>
      <c r="J26" s="13">
        <v>1010000</v>
      </c>
      <c r="K26" s="34">
        <f t="shared" ref="K26:K38" si="9">+H26/J26</f>
        <v>0.4667984851485148</v>
      </c>
    </row>
    <row r="27" spans="1:12" x14ac:dyDescent="0.2">
      <c r="A27" s="11" t="s">
        <v>15</v>
      </c>
      <c r="B27" s="13">
        <v>8774.19</v>
      </c>
      <c r="C27" s="13">
        <v>3267.16</v>
      </c>
      <c r="D27" s="13">
        <v>4770.0200000000004</v>
      </c>
      <c r="E27" s="13">
        <v>122.87</v>
      </c>
      <c r="F27" s="14">
        <f t="shared" si="6"/>
        <v>16934.240000000002</v>
      </c>
      <c r="G27" s="14">
        <f t="shared" si="7"/>
        <v>6666.666666666667</v>
      </c>
      <c r="H27" s="13">
        <v>38950.089999999997</v>
      </c>
      <c r="I27" s="14">
        <f t="shared" si="8"/>
        <v>26666.666666666668</v>
      </c>
      <c r="J27" s="13">
        <v>80000</v>
      </c>
      <c r="K27" s="34">
        <f t="shared" si="9"/>
        <v>0.48687612499999994</v>
      </c>
    </row>
    <row r="28" spans="1:12" x14ac:dyDescent="0.2">
      <c r="A28" s="11" t="s">
        <v>16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625</v>
      </c>
      <c r="H28" s="13">
        <f t="shared" ref="H28:H37" si="10">F28</f>
        <v>0</v>
      </c>
      <c r="I28" s="14">
        <f t="shared" si="8"/>
        <v>2500</v>
      </c>
      <c r="J28" s="13">
        <v>7500</v>
      </c>
      <c r="K28" s="34">
        <f t="shared" si="9"/>
        <v>0</v>
      </c>
    </row>
    <row r="29" spans="1:12" x14ac:dyDescent="0.2">
      <c r="A29" s="11" t="s">
        <v>17</v>
      </c>
      <c r="B29" s="13">
        <v>1432.08</v>
      </c>
      <c r="C29" s="13">
        <v>681.3</v>
      </c>
      <c r="D29" s="13">
        <v>992.6</v>
      </c>
      <c r="E29" s="13">
        <v>73.58</v>
      </c>
      <c r="F29" s="14">
        <f t="shared" si="6"/>
        <v>3179.56</v>
      </c>
      <c r="G29" s="14">
        <f t="shared" si="7"/>
        <v>3600</v>
      </c>
      <c r="H29" s="13">
        <v>15739.52</v>
      </c>
      <c r="I29" s="14">
        <f t="shared" si="8"/>
        <v>14400</v>
      </c>
      <c r="J29" s="13">
        <v>43200</v>
      </c>
      <c r="K29" s="34">
        <f t="shared" si="9"/>
        <v>0.36434074074074074</v>
      </c>
    </row>
    <row r="30" spans="1:12" x14ac:dyDescent="0.2">
      <c r="A30" s="11" t="s">
        <v>18</v>
      </c>
      <c r="B30" s="13">
        <v>0</v>
      </c>
      <c r="C30" s="13">
        <v>0</v>
      </c>
      <c r="D30" s="13">
        <v>0</v>
      </c>
      <c r="E30" s="13">
        <v>0</v>
      </c>
      <c r="F30" s="14">
        <f t="shared" si="6"/>
        <v>0</v>
      </c>
      <c r="G30" s="14">
        <f t="shared" si="7"/>
        <v>8750</v>
      </c>
      <c r="H30" s="13">
        <v>105312.99</v>
      </c>
      <c r="I30" s="14">
        <f t="shared" si="8"/>
        <v>35000</v>
      </c>
      <c r="J30" s="13">
        <v>105000</v>
      </c>
      <c r="K30" s="34">
        <f t="shared" si="9"/>
        <v>1.0029808571428571</v>
      </c>
    </row>
    <row r="31" spans="1:12" x14ac:dyDescent="0.2">
      <c r="A31" s="11" t="s">
        <v>19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833.33333333333337</v>
      </c>
      <c r="H31" s="13">
        <f t="shared" si="10"/>
        <v>0</v>
      </c>
      <c r="I31" s="14">
        <f t="shared" si="8"/>
        <v>3333.3333333333335</v>
      </c>
      <c r="J31" s="13">
        <f>10000</f>
        <v>10000</v>
      </c>
      <c r="K31" s="34">
        <f t="shared" si="9"/>
        <v>0</v>
      </c>
    </row>
    <row r="32" spans="1:12" x14ac:dyDescent="0.2">
      <c r="A32" s="11" t="s">
        <v>20</v>
      </c>
      <c r="B32" s="13">
        <v>0</v>
      </c>
      <c r="C32" s="13">
        <v>0</v>
      </c>
      <c r="D32" s="13">
        <v>0</v>
      </c>
      <c r="E32" s="13">
        <v>0</v>
      </c>
      <c r="F32" s="14">
        <f t="shared" si="6"/>
        <v>0</v>
      </c>
      <c r="G32" s="14">
        <f t="shared" si="7"/>
        <v>2083.3333333333335</v>
      </c>
      <c r="H32" s="13">
        <v>14175</v>
      </c>
      <c r="I32" s="14">
        <f t="shared" si="8"/>
        <v>8333.3333333333339</v>
      </c>
      <c r="J32" s="13">
        <v>25000</v>
      </c>
      <c r="K32" s="34">
        <f t="shared" si="9"/>
        <v>0.56699999999999995</v>
      </c>
    </row>
    <row r="33" spans="1:20" x14ac:dyDescent="0.2">
      <c r="A33" s="11" t="s">
        <v>21</v>
      </c>
      <c r="B33" s="13">
        <v>0</v>
      </c>
      <c r="C33" s="13">
        <v>0</v>
      </c>
      <c r="D33" s="13">
        <v>0</v>
      </c>
      <c r="E33" s="13">
        <v>0</v>
      </c>
      <c r="F33" s="14">
        <f t="shared" si="6"/>
        <v>0</v>
      </c>
      <c r="G33" s="14">
        <f t="shared" si="7"/>
        <v>1750</v>
      </c>
      <c r="H33" s="13">
        <v>3467.44</v>
      </c>
      <c r="I33" s="14">
        <f t="shared" si="8"/>
        <v>7000</v>
      </c>
      <c r="J33" s="13">
        <v>21000</v>
      </c>
      <c r="K33" s="34">
        <f t="shared" si="9"/>
        <v>0.16511619047619047</v>
      </c>
    </row>
    <row r="34" spans="1:20" x14ac:dyDescent="0.2">
      <c r="A34" s="11" t="s">
        <v>22</v>
      </c>
      <c r="B34" s="13">
        <v>0</v>
      </c>
      <c r="C34" s="13">
        <v>737.14</v>
      </c>
      <c r="D34" s="13">
        <v>731</v>
      </c>
      <c r="E34" s="13">
        <v>0</v>
      </c>
      <c r="F34" s="14">
        <f t="shared" si="6"/>
        <v>1468.1399999999999</v>
      </c>
      <c r="G34" s="14">
        <f t="shared" si="7"/>
        <v>2666.6666666666665</v>
      </c>
      <c r="H34" s="13">
        <v>5900.41</v>
      </c>
      <c r="I34" s="14">
        <f t="shared" si="8"/>
        <v>10666.666666666666</v>
      </c>
      <c r="J34" s="13">
        <v>32000</v>
      </c>
      <c r="K34" s="34">
        <f t="shared" si="9"/>
        <v>0.1843878125</v>
      </c>
    </row>
    <row r="35" spans="1:20" x14ac:dyDescent="0.2">
      <c r="A35" s="11" t="s">
        <v>23</v>
      </c>
      <c r="B35" s="13">
        <v>0</v>
      </c>
      <c r="C35" s="13">
        <v>4239.5200000000004</v>
      </c>
      <c r="D35" s="13">
        <v>4239.5200000000004</v>
      </c>
      <c r="E35" s="13">
        <v>0</v>
      </c>
      <c r="F35" s="14">
        <f t="shared" si="6"/>
        <v>8479.0400000000009</v>
      </c>
      <c r="G35" s="14">
        <f t="shared" si="7"/>
        <v>10833.333333333334</v>
      </c>
      <c r="H35" s="13">
        <v>36049.74</v>
      </c>
      <c r="I35" s="14">
        <f t="shared" si="8"/>
        <v>43333.333333333336</v>
      </c>
      <c r="J35" s="13">
        <v>130000</v>
      </c>
      <c r="K35" s="34">
        <f t="shared" si="9"/>
        <v>0.27730569230769231</v>
      </c>
    </row>
    <row r="36" spans="1:20" x14ac:dyDescent="0.2">
      <c r="A36" s="11" t="s">
        <v>24</v>
      </c>
      <c r="B36" s="13">
        <v>0</v>
      </c>
      <c r="C36" s="13">
        <v>0</v>
      </c>
      <c r="D36" s="13">
        <v>0</v>
      </c>
      <c r="E36" s="13">
        <v>0</v>
      </c>
      <c r="F36" s="14">
        <f t="shared" si="6"/>
        <v>0</v>
      </c>
      <c r="G36" s="14">
        <f t="shared" si="7"/>
        <v>1666.6666666666667</v>
      </c>
      <c r="H36" s="13">
        <v>428.19</v>
      </c>
      <c r="I36" s="14">
        <f t="shared" si="8"/>
        <v>6666.666666666667</v>
      </c>
      <c r="J36" s="13">
        <v>20000</v>
      </c>
      <c r="K36" s="34">
        <f t="shared" si="9"/>
        <v>2.1409500000000001E-2</v>
      </c>
    </row>
    <row r="37" spans="1:20" x14ac:dyDescent="0.2">
      <c r="A37" s="11" t="s">
        <v>25</v>
      </c>
      <c r="B37" s="13">
        <v>0</v>
      </c>
      <c r="C37" s="13">
        <v>0</v>
      </c>
      <c r="D37" s="13">
        <v>0</v>
      </c>
      <c r="E37" s="13">
        <v>0</v>
      </c>
      <c r="F37" s="14">
        <f t="shared" si="6"/>
        <v>0</v>
      </c>
      <c r="G37" s="14">
        <f t="shared" si="7"/>
        <v>250</v>
      </c>
      <c r="H37" s="13">
        <f t="shared" si="10"/>
        <v>0</v>
      </c>
      <c r="I37" s="14">
        <f t="shared" si="8"/>
        <v>1000</v>
      </c>
      <c r="J37" s="13">
        <f>1500+1500</f>
        <v>3000</v>
      </c>
      <c r="K37" s="34">
        <f t="shared" si="9"/>
        <v>0</v>
      </c>
    </row>
    <row r="38" spans="1:20" x14ac:dyDescent="0.2">
      <c r="A38" s="11" t="s">
        <v>26</v>
      </c>
      <c r="B38" s="13">
        <v>0</v>
      </c>
      <c r="C38" s="13">
        <v>0</v>
      </c>
      <c r="D38" s="13">
        <v>0</v>
      </c>
      <c r="E38" s="13">
        <v>46938</v>
      </c>
      <c r="F38" s="14">
        <f t="shared" si="6"/>
        <v>46938</v>
      </c>
      <c r="G38" s="14">
        <f t="shared" si="7"/>
        <v>30833.333333333332</v>
      </c>
      <c r="H38" s="13">
        <v>67163</v>
      </c>
      <c r="I38" s="14">
        <f t="shared" si="8"/>
        <v>123333.33333333333</v>
      </c>
      <c r="J38" s="13">
        <v>370000</v>
      </c>
      <c r="K38" s="34">
        <f t="shared" si="9"/>
        <v>0.18152162162162161</v>
      </c>
    </row>
    <row r="39" spans="1:20" x14ac:dyDescent="0.2">
      <c r="A39" s="11"/>
      <c r="B39" s="14"/>
      <c r="C39" s="13"/>
      <c r="D39" s="13"/>
      <c r="E39" s="13"/>
      <c r="F39" s="14"/>
      <c r="G39" s="14"/>
      <c r="H39" s="13"/>
      <c r="I39" s="14"/>
      <c r="J39" s="13"/>
    </row>
    <row r="40" spans="1:20" x14ac:dyDescent="0.2">
      <c r="A40" s="11"/>
      <c r="B40" s="2"/>
      <c r="C40" s="6"/>
      <c r="D40" s="6"/>
      <c r="E40" s="6"/>
      <c r="F40" s="2"/>
      <c r="G40" s="2"/>
      <c r="H40" s="6"/>
      <c r="I40" s="2"/>
      <c r="J40" s="6"/>
    </row>
    <row r="41" spans="1:20" x14ac:dyDescent="0.2">
      <c r="A41" s="11"/>
      <c r="B41" s="1"/>
      <c r="C41" s="7"/>
      <c r="D41" s="8"/>
      <c r="E41" s="8"/>
      <c r="F41" s="1"/>
      <c r="G41" s="1"/>
      <c r="H41" s="8"/>
      <c r="I41" s="1"/>
      <c r="J41" s="8"/>
      <c r="L41" s="1"/>
      <c r="M41" s="1"/>
      <c r="O41" s="1"/>
      <c r="P41" s="1"/>
      <c r="Q41" s="1"/>
      <c r="R41" s="1"/>
      <c r="S41" s="1"/>
      <c r="T41" s="1"/>
    </row>
    <row r="42" spans="1:20" x14ac:dyDescent="0.2">
      <c r="A42" s="11"/>
      <c r="B42" s="2"/>
      <c r="C42" s="6"/>
      <c r="D42" s="6"/>
      <c r="E42" s="6"/>
      <c r="F42" s="2"/>
      <c r="G42" s="2"/>
      <c r="H42" s="6"/>
      <c r="I42" s="2"/>
      <c r="J42" s="6"/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41" t="s">
        <v>90</v>
      </c>
      <c r="F43" s="1" t="s">
        <v>60</v>
      </c>
      <c r="G43" s="1" t="s">
        <v>61</v>
      </c>
      <c r="H43" s="8" t="s">
        <v>62</v>
      </c>
      <c r="I43" s="1" t="s">
        <v>62</v>
      </c>
      <c r="J43" s="8" t="s">
        <v>63</v>
      </c>
      <c r="K43" s="16">
        <f>+K6</f>
        <v>0.33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/>
      <c r="B44" s="1"/>
      <c r="C44" s="7"/>
      <c r="D44" s="8"/>
      <c r="E44" s="41" t="s">
        <v>88</v>
      </c>
      <c r="F44" s="1" t="s">
        <v>68</v>
      </c>
      <c r="G44" s="1" t="s">
        <v>65</v>
      </c>
      <c r="H44" s="8" t="s">
        <v>68</v>
      </c>
      <c r="I44" s="1" t="s">
        <v>67</v>
      </c>
      <c r="J44" s="8" t="s">
        <v>67</v>
      </c>
      <c r="K44" s="17" t="s">
        <v>65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/>
      <c r="B45" s="1"/>
      <c r="C45" s="7"/>
      <c r="D45" s="8"/>
      <c r="E45" s="8"/>
      <c r="F45" s="1"/>
      <c r="G45" s="1"/>
      <c r="H45" s="8"/>
      <c r="I45" s="1"/>
      <c r="J45" s="8"/>
      <c r="K45" s="17" t="s">
        <v>75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27</v>
      </c>
      <c r="B46" s="6">
        <v>4883.0200000000004</v>
      </c>
      <c r="C46" s="6">
        <v>7903.06</v>
      </c>
      <c r="D46" s="6">
        <v>4388.62</v>
      </c>
      <c r="E46" s="6">
        <v>236.4</v>
      </c>
      <c r="F46" s="14">
        <f t="shared" ref="F46:F72" si="11">SUM(B46:E46)</f>
        <v>17411.100000000002</v>
      </c>
      <c r="G46" s="2">
        <f t="shared" ref="G46:G48" si="12">J46/12</f>
        <v>16500</v>
      </c>
      <c r="H46" s="6">
        <v>68274.59</v>
      </c>
      <c r="I46" s="14">
        <f t="shared" ref="I46:I72" si="13">G46*4</f>
        <v>66000</v>
      </c>
      <c r="J46" s="6">
        <v>198000</v>
      </c>
      <c r="K46" s="34">
        <f t="shared" ref="K46:K73" si="14">+H46/J46</f>
        <v>0.34482116161616161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28</v>
      </c>
      <c r="B47" s="13">
        <v>0</v>
      </c>
      <c r="C47" s="13">
        <v>0</v>
      </c>
      <c r="D47" s="13">
        <v>0</v>
      </c>
      <c r="E47" s="13">
        <v>0</v>
      </c>
      <c r="F47" s="14">
        <f t="shared" si="11"/>
        <v>0</v>
      </c>
      <c r="G47" s="14">
        <f t="shared" si="12"/>
        <v>25520.833333333332</v>
      </c>
      <c r="H47" s="13">
        <v>290231</v>
      </c>
      <c r="I47" s="14">
        <f t="shared" si="13"/>
        <v>102083.33333333333</v>
      </c>
      <c r="J47" s="13">
        <v>306250</v>
      </c>
      <c r="K47" s="34">
        <f t="shared" si="14"/>
        <v>0.94769306122448982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29</v>
      </c>
      <c r="B48" s="13">
        <v>0</v>
      </c>
      <c r="C48" s="13">
        <v>359.05</v>
      </c>
      <c r="D48" s="13">
        <v>359.05</v>
      </c>
      <c r="E48" s="13">
        <v>0</v>
      </c>
      <c r="F48" s="14">
        <f t="shared" si="11"/>
        <v>718.1</v>
      </c>
      <c r="G48" s="14">
        <f t="shared" si="12"/>
        <v>416.66666666666669</v>
      </c>
      <c r="H48" s="13">
        <v>966.1</v>
      </c>
      <c r="I48" s="14">
        <f t="shared" si="13"/>
        <v>1666.6666666666667</v>
      </c>
      <c r="J48" s="13">
        <f>2500+2500</f>
        <v>5000</v>
      </c>
      <c r="K48" s="34">
        <f t="shared" si="14"/>
        <v>0.19322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30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>J49/12</f>
        <v>1333.3333333333333</v>
      </c>
      <c r="H49" s="13">
        <v>2412.35</v>
      </c>
      <c r="I49" s="14">
        <f t="shared" si="13"/>
        <v>5333.333333333333</v>
      </c>
      <c r="J49" s="13">
        <f>8000+8000</f>
        <v>16000</v>
      </c>
      <c r="K49" s="34">
        <f t="shared" si="14"/>
        <v>0.150771875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32</v>
      </c>
      <c r="B50" s="13">
        <v>0</v>
      </c>
      <c r="C50" s="13">
        <v>0</v>
      </c>
      <c r="D50" s="13">
        <v>0</v>
      </c>
      <c r="E50" s="13">
        <v>0</v>
      </c>
      <c r="F50" s="14">
        <f t="shared" si="11"/>
        <v>0</v>
      </c>
      <c r="G50" s="14">
        <f t="shared" ref="G50:G72" si="15">J50/12</f>
        <v>6500</v>
      </c>
      <c r="H50" s="13">
        <v>0</v>
      </c>
      <c r="I50" s="14">
        <f t="shared" si="13"/>
        <v>26000</v>
      </c>
      <c r="J50" s="13">
        <v>78000</v>
      </c>
      <c r="K50" s="34">
        <f t="shared" si="14"/>
        <v>0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33</v>
      </c>
      <c r="B51" s="13">
        <v>0</v>
      </c>
      <c r="C51" s="13">
        <v>0</v>
      </c>
      <c r="D51" s="13">
        <v>0</v>
      </c>
      <c r="E51" s="13">
        <v>0</v>
      </c>
      <c r="F51" s="14">
        <f t="shared" si="11"/>
        <v>0</v>
      </c>
      <c r="G51" s="14">
        <f t="shared" si="15"/>
        <v>750</v>
      </c>
      <c r="H51" s="13">
        <v>1145.9100000000001</v>
      </c>
      <c r="I51" s="14">
        <f t="shared" si="13"/>
        <v>3000</v>
      </c>
      <c r="J51" s="13">
        <v>9000</v>
      </c>
      <c r="K51" s="34">
        <f t="shared" si="14"/>
        <v>0.12732333333333334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34</v>
      </c>
      <c r="B52" s="13">
        <v>0</v>
      </c>
      <c r="C52" s="13">
        <v>283.64</v>
      </c>
      <c r="D52" s="13">
        <v>262.97000000000003</v>
      </c>
      <c r="E52" s="13">
        <v>0</v>
      </c>
      <c r="F52" s="14">
        <f t="shared" si="11"/>
        <v>546.61</v>
      </c>
      <c r="G52" s="14">
        <f t="shared" si="15"/>
        <v>1250</v>
      </c>
      <c r="H52" s="13">
        <v>4744.75</v>
      </c>
      <c r="I52" s="14">
        <f t="shared" si="13"/>
        <v>5000</v>
      </c>
      <c r="J52" s="13">
        <v>15000</v>
      </c>
      <c r="K52" s="34">
        <f t="shared" si="14"/>
        <v>0.31631666666666669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35</v>
      </c>
      <c r="B53" s="13">
        <v>0</v>
      </c>
      <c r="C53" s="13">
        <v>1276.6500000000001</v>
      </c>
      <c r="D53" s="13">
        <v>1573.69</v>
      </c>
      <c r="E53" s="13">
        <v>0</v>
      </c>
      <c r="F53" s="14">
        <f t="shared" si="11"/>
        <v>2850.34</v>
      </c>
      <c r="G53" s="14">
        <f t="shared" si="15"/>
        <v>13750</v>
      </c>
      <c r="H53" s="13">
        <v>31639.49</v>
      </c>
      <c r="I53" s="14">
        <f t="shared" si="13"/>
        <v>55000</v>
      </c>
      <c r="J53" s="13">
        <v>165000</v>
      </c>
      <c r="K53" s="34">
        <f t="shared" si="14"/>
        <v>0.19175448484848487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36</v>
      </c>
      <c r="B54" s="13">
        <v>0</v>
      </c>
      <c r="C54" s="13">
        <v>104544.13</v>
      </c>
      <c r="D54" s="13">
        <v>0</v>
      </c>
      <c r="E54" s="13">
        <v>0</v>
      </c>
      <c r="F54" s="14">
        <f t="shared" si="11"/>
        <v>104544.13</v>
      </c>
      <c r="G54" s="14">
        <f t="shared" si="15"/>
        <v>91666.666666666672</v>
      </c>
      <c r="H54" s="13">
        <v>346242.63</v>
      </c>
      <c r="I54" s="14">
        <f t="shared" si="13"/>
        <v>366666.66666666669</v>
      </c>
      <c r="J54" s="13">
        <v>1100000</v>
      </c>
      <c r="K54" s="34">
        <f t="shared" si="14"/>
        <v>0.31476602727272729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37</v>
      </c>
      <c r="B55" s="13">
        <v>0</v>
      </c>
      <c r="C55" s="13">
        <v>0</v>
      </c>
      <c r="D55" s="13">
        <v>0</v>
      </c>
      <c r="E55" s="13">
        <v>0</v>
      </c>
      <c r="F55" s="14">
        <f t="shared" si="11"/>
        <v>0</v>
      </c>
      <c r="G55" s="14">
        <f t="shared" si="15"/>
        <v>875</v>
      </c>
      <c r="H55" s="13">
        <v>763.74</v>
      </c>
      <c r="I55" s="14">
        <f t="shared" si="13"/>
        <v>3500</v>
      </c>
      <c r="J55" s="13">
        <v>10500</v>
      </c>
      <c r="K55" s="34">
        <f t="shared" si="14"/>
        <v>7.2737142857142861E-2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38</v>
      </c>
      <c r="B56" s="13">
        <v>0</v>
      </c>
      <c r="C56" s="13">
        <v>0</v>
      </c>
      <c r="D56" s="13">
        <v>0</v>
      </c>
      <c r="E56" s="13">
        <v>7934.5</v>
      </c>
      <c r="F56" s="14">
        <f t="shared" si="11"/>
        <v>7934.5</v>
      </c>
      <c r="G56" s="14">
        <f t="shared" si="15"/>
        <v>3333.3333333333335</v>
      </c>
      <c r="H56" s="13">
        <v>25639.25</v>
      </c>
      <c r="I56" s="14">
        <f t="shared" si="13"/>
        <v>13333.333333333334</v>
      </c>
      <c r="J56" s="13">
        <v>40000</v>
      </c>
      <c r="K56" s="34">
        <f t="shared" si="14"/>
        <v>0.64098124999999995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39</v>
      </c>
      <c r="B57" s="13">
        <v>0</v>
      </c>
      <c r="C57" s="13">
        <v>0</v>
      </c>
      <c r="D57" s="13">
        <v>0</v>
      </c>
      <c r="E57" s="13">
        <v>773.64</v>
      </c>
      <c r="F57" s="14">
        <f t="shared" si="11"/>
        <v>773.64</v>
      </c>
      <c r="G57" s="14">
        <f t="shared" si="15"/>
        <v>625</v>
      </c>
      <c r="H57" s="13">
        <v>1043.92</v>
      </c>
      <c r="I57" s="14">
        <f t="shared" si="13"/>
        <v>2500</v>
      </c>
      <c r="J57" s="13">
        <v>7500</v>
      </c>
      <c r="K57" s="34">
        <f t="shared" si="14"/>
        <v>0.13918933333333333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40</v>
      </c>
      <c r="B58" s="13">
        <v>35</v>
      </c>
      <c r="C58" s="13">
        <v>0</v>
      </c>
      <c r="D58" s="13">
        <v>0</v>
      </c>
      <c r="E58" s="13">
        <v>0</v>
      </c>
      <c r="F58" s="14">
        <f t="shared" si="11"/>
        <v>35</v>
      </c>
      <c r="G58" s="14">
        <f t="shared" si="15"/>
        <v>875</v>
      </c>
      <c r="H58" s="13">
        <v>2040.99</v>
      </c>
      <c r="I58" s="14">
        <f t="shared" si="13"/>
        <v>3500</v>
      </c>
      <c r="J58" s="13">
        <v>10500</v>
      </c>
      <c r="K58" s="34">
        <f t="shared" si="14"/>
        <v>0.19438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41</v>
      </c>
      <c r="B59" s="13">
        <v>2843.96</v>
      </c>
      <c r="C59" s="13">
        <v>470.13</v>
      </c>
      <c r="D59" s="13">
        <v>0</v>
      </c>
      <c r="E59" s="13">
        <v>0</v>
      </c>
      <c r="F59" s="14">
        <f t="shared" si="11"/>
        <v>3314.09</v>
      </c>
      <c r="G59" s="14">
        <f t="shared" si="15"/>
        <v>2500</v>
      </c>
      <c r="H59" s="13">
        <v>21728.799999999999</v>
      </c>
      <c r="I59" s="14">
        <f t="shared" si="13"/>
        <v>10000</v>
      </c>
      <c r="J59" s="13">
        <v>30000</v>
      </c>
      <c r="K59" s="34">
        <f t="shared" si="14"/>
        <v>0.72429333333333334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42</v>
      </c>
      <c r="B60" s="13">
        <v>0</v>
      </c>
      <c r="C60" s="13">
        <v>0</v>
      </c>
      <c r="D60" s="13">
        <v>0</v>
      </c>
      <c r="E60" s="13">
        <v>4263.43</v>
      </c>
      <c r="F60" s="14">
        <f t="shared" si="11"/>
        <v>4263.43</v>
      </c>
      <c r="G60" s="14">
        <f t="shared" si="15"/>
        <v>13333.333333333334</v>
      </c>
      <c r="H60" s="13">
        <v>34673.47</v>
      </c>
      <c r="I60" s="14">
        <f t="shared" si="13"/>
        <v>53333.333333333336</v>
      </c>
      <c r="J60" s="13">
        <v>160000</v>
      </c>
      <c r="K60" s="34">
        <f t="shared" si="14"/>
        <v>0.21670918750000001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43</v>
      </c>
      <c r="B61" s="13">
        <v>0</v>
      </c>
      <c r="C61" s="13">
        <v>0</v>
      </c>
      <c r="D61" s="13">
        <v>0</v>
      </c>
      <c r="E61" s="13">
        <v>4691.88</v>
      </c>
      <c r="F61" s="14">
        <f t="shared" si="11"/>
        <v>4691.88</v>
      </c>
      <c r="G61" s="14">
        <f t="shared" si="15"/>
        <v>3333.3333333333335</v>
      </c>
      <c r="H61" s="13">
        <v>17602.27</v>
      </c>
      <c r="I61" s="14">
        <f t="shared" si="13"/>
        <v>13333.333333333334</v>
      </c>
      <c r="J61" s="13">
        <v>40000</v>
      </c>
      <c r="K61" s="34">
        <f t="shared" si="14"/>
        <v>0.44005675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44</v>
      </c>
      <c r="B62" s="13">
        <v>0</v>
      </c>
      <c r="C62" s="13">
        <v>0</v>
      </c>
      <c r="D62" s="13">
        <v>0</v>
      </c>
      <c r="E62" s="13">
        <v>0</v>
      </c>
      <c r="F62" s="14">
        <f t="shared" si="11"/>
        <v>0</v>
      </c>
      <c r="G62" s="14">
        <f t="shared" si="15"/>
        <v>1583.3333333333333</v>
      </c>
      <c r="H62" s="13">
        <v>22802</v>
      </c>
      <c r="I62" s="14">
        <f t="shared" si="13"/>
        <v>6333.333333333333</v>
      </c>
      <c r="J62" s="13">
        <v>19000</v>
      </c>
      <c r="K62" s="34">
        <f t="shared" si="14"/>
        <v>1.2001052631578948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45</v>
      </c>
      <c r="B63" s="13">
        <v>0</v>
      </c>
      <c r="C63" s="13">
        <v>1212.4000000000001</v>
      </c>
      <c r="D63" s="13">
        <v>0</v>
      </c>
      <c r="E63" s="13">
        <v>0</v>
      </c>
      <c r="F63" s="14">
        <f t="shared" si="11"/>
        <v>1212.4000000000001</v>
      </c>
      <c r="G63" s="14">
        <f t="shared" si="15"/>
        <v>1416.6666666666667</v>
      </c>
      <c r="H63" s="13">
        <v>9504.85</v>
      </c>
      <c r="I63" s="14">
        <f t="shared" si="13"/>
        <v>5666.666666666667</v>
      </c>
      <c r="J63" s="13">
        <v>17000</v>
      </c>
      <c r="K63" s="34">
        <f t="shared" si="14"/>
        <v>0.55910882352941182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46</v>
      </c>
      <c r="B64" s="13">
        <v>0</v>
      </c>
      <c r="C64" s="13">
        <v>0</v>
      </c>
      <c r="D64" s="13">
        <v>0</v>
      </c>
      <c r="E64" s="13">
        <v>0</v>
      </c>
      <c r="F64" s="14">
        <f t="shared" si="11"/>
        <v>0</v>
      </c>
      <c r="G64" s="14">
        <f t="shared" si="15"/>
        <v>1666.6666666666667</v>
      </c>
      <c r="H64" s="13">
        <v>7826.05</v>
      </c>
      <c r="I64" s="14">
        <f t="shared" si="13"/>
        <v>6666.666666666667</v>
      </c>
      <c r="J64" s="13">
        <v>20000</v>
      </c>
      <c r="K64" s="34">
        <f t="shared" si="14"/>
        <v>0.3913025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47</v>
      </c>
      <c r="B65" s="13">
        <v>17257.75</v>
      </c>
      <c r="C65" s="13">
        <v>0</v>
      </c>
      <c r="D65" s="13">
        <v>0</v>
      </c>
      <c r="E65" s="13">
        <v>0</v>
      </c>
      <c r="F65" s="14">
        <f t="shared" si="11"/>
        <v>17257.75</v>
      </c>
      <c r="G65" s="14">
        <f t="shared" si="15"/>
        <v>12541.666666666666</v>
      </c>
      <c r="H65" s="13">
        <v>51739.49</v>
      </c>
      <c r="I65" s="14">
        <f t="shared" si="13"/>
        <v>50166.666666666664</v>
      </c>
      <c r="J65" s="13">
        <v>150500</v>
      </c>
      <c r="K65" s="34">
        <f t="shared" si="14"/>
        <v>0.34378398671096344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48</v>
      </c>
      <c r="B66" s="13">
        <v>115</v>
      </c>
      <c r="C66" s="13">
        <v>0</v>
      </c>
      <c r="D66" s="13">
        <v>0</v>
      </c>
      <c r="E66" s="13">
        <v>0</v>
      </c>
      <c r="F66" s="14">
        <f t="shared" si="11"/>
        <v>115</v>
      </c>
      <c r="G66" s="14">
        <f t="shared" si="15"/>
        <v>83.333333333333329</v>
      </c>
      <c r="H66" s="13">
        <f t="shared" ref="H66:H72" si="16">F66</f>
        <v>115</v>
      </c>
      <c r="I66" s="14">
        <f t="shared" si="13"/>
        <v>333.33333333333331</v>
      </c>
      <c r="J66" s="13">
        <v>1000</v>
      </c>
      <c r="K66" s="34">
        <f t="shared" si="14"/>
        <v>0.115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49</v>
      </c>
      <c r="B67" s="13">
        <v>295</v>
      </c>
      <c r="C67" s="13">
        <v>0</v>
      </c>
      <c r="D67" s="13">
        <v>0</v>
      </c>
      <c r="E67" s="13">
        <v>0</v>
      </c>
      <c r="F67" s="14">
        <f t="shared" si="11"/>
        <v>295</v>
      </c>
      <c r="G67" s="14">
        <f t="shared" si="15"/>
        <v>208.33333333333334</v>
      </c>
      <c r="H67" s="13">
        <v>637.75</v>
      </c>
      <c r="I67" s="14">
        <f t="shared" si="13"/>
        <v>833.33333333333337</v>
      </c>
      <c r="J67" s="13">
        <v>2500</v>
      </c>
      <c r="K67" s="34">
        <f t="shared" si="14"/>
        <v>0.25509999999999999</v>
      </c>
      <c r="L67" s="1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11" t="s">
        <v>50</v>
      </c>
      <c r="B68" s="13">
        <v>1953</v>
      </c>
      <c r="C68" s="13">
        <v>0</v>
      </c>
      <c r="D68" s="13">
        <v>0</v>
      </c>
      <c r="E68" s="13">
        <v>0</v>
      </c>
      <c r="F68" s="14">
        <f t="shared" si="11"/>
        <v>1953</v>
      </c>
      <c r="G68" s="14">
        <f t="shared" si="15"/>
        <v>2500</v>
      </c>
      <c r="H68" s="13">
        <v>13790.5</v>
      </c>
      <c r="I68" s="14">
        <f t="shared" si="13"/>
        <v>10000</v>
      </c>
      <c r="J68" s="13">
        <v>30000</v>
      </c>
      <c r="K68" s="34">
        <f t="shared" si="14"/>
        <v>0.45968333333333333</v>
      </c>
      <c r="L68" s="1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11" t="s">
        <v>52</v>
      </c>
      <c r="B69" s="13">
        <v>0</v>
      </c>
      <c r="C69" s="13">
        <v>4615.17</v>
      </c>
      <c r="D69" s="13">
        <v>0</v>
      </c>
      <c r="E69" s="13">
        <v>0</v>
      </c>
      <c r="F69" s="14">
        <f t="shared" si="11"/>
        <v>4615.17</v>
      </c>
      <c r="G69" s="14">
        <f t="shared" si="15"/>
        <v>4000</v>
      </c>
      <c r="H69" s="13">
        <v>16040.34</v>
      </c>
      <c r="I69" s="14">
        <f t="shared" si="13"/>
        <v>16000</v>
      </c>
      <c r="J69" s="13">
        <v>48000</v>
      </c>
      <c r="K69" s="34">
        <f t="shared" si="14"/>
        <v>0.33417374999999999</v>
      </c>
      <c r="L69" s="1"/>
      <c r="M69" s="2"/>
      <c r="N69" s="2"/>
      <c r="O69" s="2"/>
      <c r="P69" s="3"/>
      <c r="R69" s="3"/>
    </row>
    <row r="70" spans="1:20" x14ac:dyDescent="0.2">
      <c r="A70" s="11" t="s">
        <v>53</v>
      </c>
      <c r="B70" s="13">
        <v>0</v>
      </c>
      <c r="C70" s="13">
        <v>328.21</v>
      </c>
      <c r="D70" s="13">
        <v>0</v>
      </c>
      <c r="E70" s="13">
        <v>0</v>
      </c>
      <c r="F70" s="14">
        <f t="shared" si="11"/>
        <v>328.21</v>
      </c>
      <c r="G70" s="14">
        <f t="shared" si="15"/>
        <v>833.33333333333337</v>
      </c>
      <c r="H70" s="13">
        <v>3083.66</v>
      </c>
      <c r="I70" s="14">
        <f t="shared" si="13"/>
        <v>3333.3333333333335</v>
      </c>
      <c r="J70" s="13">
        <v>10000</v>
      </c>
      <c r="K70" s="34">
        <f t="shared" si="14"/>
        <v>0.30836599999999997</v>
      </c>
    </row>
    <row r="71" spans="1:20" x14ac:dyDescent="0.2">
      <c r="A71" s="11" t="s">
        <v>54</v>
      </c>
      <c r="B71" s="13">
        <v>0</v>
      </c>
      <c r="C71" s="13">
        <v>0</v>
      </c>
      <c r="D71" s="13">
        <v>0</v>
      </c>
      <c r="E71" s="13">
        <v>0</v>
      </c>
      <c r="F71" s="14">
        <f t="shared" si="11"/>
        <v>0</v>
      </c>
      <c r="G71" s="14">
        <f t="shared" si="15"/>
        <v>4.166666666666667</v>
      </c>
      <c r="H71" s="13">
        <f t="shared" si="16"/>
        <v>0</v>
      </c>
      <c r="I71" s="14">
        <f t="shared" si="13"/>
        <v>16.666666666666668</v>
      </c>
      <c r="J71" s="13">
        <v>50</v>
      </c>
      <c r="K71" s="34">
        <f t="shared" si="14"/>
        <v>0</v>
      </c>
    </row>
    <row r="72" spans="1:20" x14ac:dyDescent="0.2">
      <c r="A72" s="11" t="s">
        <v>72</v>
      </c>
      <c r="B72" s="13">
        <v>0</v>
      </c>
      <c r="C72" s="13">
        <v>0</v>
      </c>
      <c r="D72" s="13">
        <v>0</v>
      </c>
      <c r="E72" s="13">
        <v>0</v>
      </c>
      <c r="F72" s="14">
        <f t="shared" si="11"/>
        <v>0</v>
      </c>
      <c r="G72" s="14">
        <f t="shared" si="15"/>
        <v>1666.6666666666667</v>
      </c>
      <c r="H72" s="13">
        <f t="shared" si="16"/>
        <v>0</v>
      </c>
      <c r="I72" s="14">
        <f t="shared" si="13"/>
        <v>6666.666666666667</v>
      </c>
      <c r="J72" s="13">
        <v>20000</v>
      </c>
      <c r="K72" s="33">
        <f t="shared" si="14"/>
        <v>0</v>
      </c>
    </row>
    <row r="73" spans="1:20" x14ac:dyDescent="0.2">
      <c r="A73" s="11" t="s">
        <v>55</v>
      </c>
      <c r="B73" s="35">
        <f t="shared" ref="B73:I73" si="17">SUM(B26:B72)</f>
        <v>151117.51</v>
      </c>
      <c r="C73" s="35">
        <f t="shared" si="17"/>
        <v>164459.32</v>
      </c>
      <c r="D73" s="36">
        <f t="shared" si="17"/>
        <v>78767.960000000006</v>
      </c>
      <c r="E73" s="36">
        <f t="shared" si="17"/>
        <v>66636.94</v>
      </c>
      <c r="F73" s="35">
        <f t="shared" si="17"/>
        <v>460981.73000000004</v>
      </c>
      <c r="G73" s="35">
        <f t="shared" si="17"/>
        <v>363791.66666666663</v>
      </c>
      <c r="H73" s="36">
        <f t="shared" si="17"/>
        <v>1733341.75</v>
      </c>
      <c r="I73" s="35">
        <f t="shared" si="17"/>
        <v>1455166.6666666665</v>
      </c>
      <c r="J73" s="36">
        <f>SUM(J46:J72)+SUM(J26:J38)</f>
        <v>4365500</v>
      </c>
      <c r="K73" s="37">
        <f t="shared" si="14"/>
        <v>0.39705457564998281</v>
      </c>
    </row>
    <row r="74" spans="1:20" x14ac:dyDescent="0.2">
      <c r="B74" s="14"/>
      <c r="C74" s="14" t="s">
        <v>69</v>
      </c>
      <c r="D74" s="13"/>
      <c r="E74" s="13"/>
      <c r="F74" s="14"/>
      <c r="G74" s="14"/>
      <c r="H74" s="13"/>
      <c r="I74" s="14"/>
      <c r="J74" s="13"/>
    </row>
    <row r="75" spans="1:20" ht="13.5" thickBot="1" x14ac:dyDescent="0.25">
      <c r="A75" s="11" t="s">
        <v>56</v>
      </c>
      <c r="B75" s="38">
        <f t="shared" ref="B75:H75" si="18">B21-B73</f>
        <v>-151117.51</v>
      </c>
      <c r="C75" s="38">
        <f t="shared" si="18"/>
        <v>34911.549999999988</v>
      </c>
      <c r="D75" s="39">
        <f t="shared" si="18"/>
        <v>76946.42</v>
      </c>
      <c r="E75" s="39">
        <f t="shared" si="18"/>
        <v>-25750.86</v>
      </c>
      <c r="F75" s="38">
        <f t="shared" si="18"/>
        <v>-65010.399999999965</v>
      </c>
      <c r="G75" s="38">
        <f t="shared" si="18"/>
        <v>0</v>
      </c>
      <c r="H75" s="39">
        <f t="shared" si="18"/>
        <v>-224735.38999999966</v>
      </c>
      <c r="I75" s="10"/>
      <c r="J75" s="12"/>
    </row>
    <row r="76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7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D1" s="31" t="s">
        <v>74</v>
      </c>
    </row>
    <row r="3" spans="1:10" ht="15.75" x14ac:dyDescent="0.25">
      <c r="D3" s="31" t="s">
        <v>91</v>
      </c>
    </row>
    <row r="6" spans="1:10" x14ac:dyDescent="0.2">
      <c r="B6" s="1" t="s">
        <v>57</v>
      </c>
      <c r="C6" t="s">
        <v>58</v>
      </c>
      <c r="D6" s="8" t="s">
        <v>59</v>
      </c>
      <c r="E6" s="1" t="s">
        <v>60</v>
      </c>
      <c r="F6" s="1" t="s">
        <v>61</v>
      </c>
      <c r="G6" s="8" t="s">
        <v>62</v>
      </c>
      <c r="H6" s="1" t="s">
        <v>62</v>
      </c>
      <c r="I6" s="8" t="s">
        <v>63</v>
      </c>
      <c r="J6" s="16">
        <v>0.42</v>
      </c>
    </row>
    <row r="7" spans="1:10" x14ac:dyDescent="0.2">
      <c r="B7" s="1"/>
      <c r="D7" s="8"/>
      <c r="E7" s="1" t="s">
        <v>64</v>
      </c>
      <c r="F7" s="1" t="s">
        <v>65</v>
      </c>
      <c r="G7" s="8" t="s">
        <v>66</v>
      </c>
      <c r="H7" s="1" t="s">
        <v>67</v>
      </c>
      <c r="I7" s="8" t="s">
        <v>67</v>
      </c>
      <c r="J7" s="17" t="s">
        <v>65</v>
      </c>
    </row>
    <row r="8" spans="1:10" x14ac:dyDescent="0.2">
      <c r="A8" s="11" t="s">
        <v>0</v>
      </c>
      <c r="J8" s="17" t="s">
        <v>75</v>
      </c>
    </row>
    <row r="9" spans="1:10" x14ac:dyDescent="0.2">
      <c r="A9" s="11" t="s">
        <v>1</v>
      </c>
      <c r="B9" s="13">
        <v>0</v>
      </c>
      <c r="C9" s="13">
        <v>0</v>
      </c>
      <c r="D9" s="13">
        <v>139979.15</v>
      </c>
      <c r="E9" s="14">
        <f>+B9+C9+D9</f>
        <v>139979.15</v>
      </c>
      <c r="F9" s="14">
        <f>I9/12</f>
        <v>148333.33333333334</v>
      </c>
      <c r="G9" s="13">
        <v>703065.09</v>
      </c>
      <c r="H9" s="14">
        <f>F9*5</f>
        <v>741666.66666666674</v>
      </c>
      <c r="I9" s="13">
        <v>1780000</v>
      </c>
      <c r="J9" s="32">
        <f>+G9/I9</f>
        <v>0.3949803876404494</v>
      </c>
    </row>
    <row r="10" spans="1:10" x14ac:dyDescent="0.2">
      <c r="A10" s="11" t="s">
        <v>2</v>
      </c>
      <c r="B10" s="13">
        <v>0</v>
      </c>
      <c r="C10" s="13">
        <v>935.14</v>
      </c>
      <c r="D10" s="13">
        <v>5830.97</v>
      </c>
      <c r="E10" s="14">
        <f t="shared" ref="E10:E20" si="0">+B10+C10+D10</f>
        <v>6766.1100000000006</v>
      </c>
      <c r="F10" s="14">
        <f t="shared" ref="F10:F20" si="1">I10/12</f>
        <v>6083.333333333333</v>
      </c>
      <c r="G10" s="13">
        <v>33178.199999999997</v>
      </c>
      <c r="H10" s="14">
        <f t="shared" ref="H10:H20" si="2">F10*5</f>
        <v>30416.666666666664</v>
      </c>
      <c r="I10" s="13">
        <v>73000</v>
      </c>
      <c r="J10" s="32">
        <f t="shared" ref="J10:J21" si="3">+G10/I10</f>
        <v>0.45449589041095889</v>
      </c>
    </row>
    <row r="11" spans="1:10" x14ac:dyDescent="0.2">
      <c r="A11" s="11" t="s">
        <v>71</v>
      </c>
      <c r="B11" s="13">
        <v>0</v>
      </c>
      <c r="C11" s="13">
        <v>0</v>
      </c>
      <c r="D11" s="13">
        <v>0</v>
      </c>
      <c r="E11" s="14">
        <f t="shared" si="0"/>
        <v>0</v>
      </c>
      <c r="F11" s="14">
        <f t="shared" si="1"/>
        <v>1250</v>
      </c>
      <c r="G11" s="13">
        <f t="shared" ref="G11" si="4">E11</f>
        <v>0</v>
      </c>
      <c r="H11" s="14">
        <f t="shared" si="2"/>
        <v>6250</v>
      </c>
      <c r="I11" s="13">
        <v>15000</v>
      </c>
      <c r="J11" s="32">
        <f t="shared" si="3"/>
        <v>0</v>
      </c>
    </row>
    <row r="12" spans="1:10" x14ac:dyDescent="0.2">
      <c r="A12" s="11" t="s">
        <v>3</v>
      </c>
      <c r="B12" s="13">
        <v>0</v>
      </c>
      <c r="C12" s="13">
        <v>0</v>
      </c>
      <c r="D12" s="13">
        <v>1569.28</v>
      </c>
      <c r="E12" s="14">
        <f t="shared" si="0"/>
        <v>1569.28</v>
      </c>
      <c r="F12" s="14">
        <f t="shared" si="1"/>
        <v>3333.3333333333335</v>
      </c>
      <c r="G12" s="13">
        <v>16958.07</v>
      </c>
      <c r="H12" s="14">
        <f t="shared" si="2"/>
        <v>16666.666666666668</v>
      </c>
      <c r="I12" s="13">
        <v>40000</v>
      </c>
      <c r="J12" s="32">
        <f t="shared" si="3"/>
        <v>0.42395175000000002</v>
      </c>
    </row>
    <row r="13" spans="1:10" x14ac:dyDescent="0.2">
      <c r="A13" s="11" t="s">
        <v>4</v>
      </c>
      <c r="B13" s="13">
        <v>0</v>
      </c>
      <c r="C13" s="13">
        <v>0</v>
      </c>
      <c r="D13" s="13">
        <v>159.47999999999999</v>
      </c>
      <c r="E13" s="14">
        <f t="shared" si="0"/>
        <v>159.47999999999999</v>
      </c>
      <c r="F13" s="14">
        <f t="shared" si="1"/>
        <v>8333.3333333333339</v>
      </c>
      <c r="G13" s="13">
        <v>81410.12</v>
      </c>
      <c r="H13" s="14">
        <f t="shared" si="2"/>
        <v>41666.666666666672</v>
      </c>
      <c r="I13" s="13">
        <v>100000</v>
      </c>
      <c r="J13" s="32">
        <f t="shared" si="3"/>
        <v>0.81410119999999997</v>
      </c>
    </row>
    <row r="14" spans="1:10" x14ac:dyDescent="0.2">
      <c r="A14" s="11" t="s">
        <v>5</v>
      </c>
      <c r="B14" s="13">
        <v>0</v>
      </c>
      <c r="C14" s="13">
        <v>149170.41</v>
      </c>
      <c r="D14" s="13">
        <v>0</v>
      </c>
      <c r="E14" s="14">
        <f t="shared" si="0"/>
        <v>149170.41</v>
      </c>
      <c r="F14" s="14">
        <f t="shared" si="1"/>
        <v>121666.66666666667</v>
      </c>
      <c r="G14" s="13">
        <v>620381.41</v>
      </c>
      <c r="H14" s="14">
        <f t="shared" si="2"/>
        <v>608333.33333333337</v>
      </c>
      <c r="I14" s="13">
        <v>1460000</v>
      </c>
      <c r="J14" s="32">
        <f t="shared" si="3"/>
        <v>0.42491877397260275</v>
      </c>
    </row>
    <row r="15" spans="1:10" x14ac:dyDescent="0.2">
      <c r="A15" s="11" t="s">
        <v>6</v>
      </c>
      <c r="B15" s="13">
        <v>0</v>
      </c>
      <c r="C15" s="13">
        <v>698.8</v>
      </c>
      <c r="D15" s="13">
        <v>0</v>
      </c>
      <c r="E15" s="14">
        <f t="shared" si="0"/>
        <v>698.8</v>
      </c>
      <c r="F15" s="14">
        <f t="shared" si="1"/>
        <v>916.66666666666663</v>
      </c>
      <c r="G15" s="13">
        <v>3252.38</v>
      </c>
      <c r="H15" s="14">
        <f t="shared" si="2"/>
        <v>4583.333333333333</v>
      </c>
      <c r="I15" s="13">
        <v>11000</v>
      </c>
      <c r="J15" s="32">
        <f t="shared" si="3"/>
        <v>0.2956709090909091</v>
      </c>
    </row>
    <row r="16" spans="1:10" x14ac:dyDescent="0.2">
      <c r="A16" s="11" t="s">
        <v>7</v>
      </c>
      <c r="B16" s="13">
        <v>0</v>
      </c>
      <c r="C16" s="13">
        <v>20887.82</v>
      </c>
      <c r="D16" s="13">
        <v>0</v>
      </c>
      <c r="E16" s="14">
        <f t="shared" si="0"/>
        <v>20887.82</v>
      </c>
      <c r="F16" s="14">
        <f t="shared" si="1"/>
        <v>15833.333333333334</v>
      </c>
      <c r="G16" s="13">
        <v>119028.41</v>
      </c>
      <c r="H16" s="14">
        <f t="shared" si="2"/>
        <v>79166.666666666672</v>
      </c>
      <c r="I16" s="13">
        <v>190000</v>
      </c>
      <c r="J16" s="32">
        <f t="shared" si="3"/>
        <v>0.62646531578947373</v>
      </c>
    </row>
    <row r="17" spans="1:11" x14ac:dyDescent="0.2">
      <c r="A17" s="11" t="s">
        <v>8</v>
      </c>
      <c r="B17" s="13">
        <v>0</v>
      </c>
      <c r="C17" s="13">
        <v>169.64</v>
      </c>
      <c r="D17" s="13">
        <v>0</v>
      </c>
      <c r="E17" s="14">
        <f t="shared" si="0"/>
        <v>169.64</v>
      </c>
      <c r="F17" s="14">
        <f t="shared" si="1"/>
        <v>625</v>
      </c>
      <c r="G17" s="13">
        <v>1565.65</v>
      </c>
      <c r="H17" s="14">
        <f t="shared" si="2"/>
        <v>3125</v>
      </c>
      <c r="I17" s="13">
        <v>7500</v>
      </c>
      <c r="J17" s="32">
        <f t="shared" si="3"/>
        <v>0.20875333333333335</v>
      </c>
    </row>
    <row r="18" spans="1:11" x14ac:dyDescent="0.2">
      <c r="A18" s="11" t="s">
        <v>9</v>
      </c>
      <c r="B18" s="13">
        <v>0</v>
      </c>
      <c r="C18" s="13">
        <v>5493.44</v>
      </c>
      <c r="D18" s="13">
        <v>0</v>
      </c>
      <c r="E18" s="14">
        <f t="shared" si="0"/>
        <v>5493.44</v>
      </c>
      <c r="F18" s="14">
        <f t="shared" si="1"/>
        <v>4166.666666666667</v>
      </c>
      <c r="G18" s="13">
        <v>17788.8</v>
      </c>
      <c r="H18" s="14">
        <f t="shared" si="2"/>
        <v>20833.333333333336</v>
      </c>
      <c r="I18" s="13">
        <v>50000</v>
      </c>
      <c r="J18" s="32">
        <f t="shared" si="3"/>
        <v>0.35577599999999998</v>
      </c>
    </row>
    <row r="19" spans="1:11" x14ac:dyDescent="0.2">
      <c r="A19" s="11" t="s">
        <v>10</v>
      </c>
      <c r="B19" s="13">
        <v>0</v>
      </c>
      <c r="C19" s="13">
        <v>49907.07</v>
      </c>
      <c r="D19" s="13">
        <v>0</v>
      </c>
      <c r="E19" s="14">
        <f t="shared" si="0"/>
        <v>49907.07</v>
      </c>
      <c r="F19" s="14">
        <f t="shared" si="1"/>
        <v>48666.666666666664</v>
      </c>
      <c r="G19" s="13">
        <v>247589.21</v>
      </c>
      <c r="H19" s="14">
        <f t="shared" si="2"/>
        <v>243333.33333333331</v>
      </c>
      <c r="I19" s="13">
        <v>584000</v>
      </c>
      <c r="J19" s="32">
        <f t="shared" si="3"/>
        <v>0.42395412671232874</v>
      </c>
    </row>
    <row r="20" spans="1:11" x14ac:dyDescent="0.2">
      <c r="A20" s="11" t="s">
        <v>11</v>
      </c>
      <c r="B20" s="13">
        <v>0</v>
      </c>
      <c r="C20" s="13">
        <v>10239.870000000001</v>
      </c>
      <c r="D20" s="13">
        <v>0</v>
      </c>
      <c r="E20" s="14">
        <f t="shared" si="0"/>
        <v>10239.870000000001</v>
      </c>
      <c r="F20" s="14">
        <f t="shared" si="1"/>
        <v>4583.333333333333</v>
      </c>
      <c r="G20" s="13">
        <v>49452.22</v>
      </c>
      <c r="H20" s="14">
        <f t="shared" si="2"/>
        <v>22916.666666666664</v>
      </c>
      <c r="I20" s="13">
        <v>55000</v>
      </c>
      <c r="J20" s="33">
        <f t="shared" si="3"/>
        <v>0.89913127272727278</v>
      </c>
    </row>
    <row r="21" spans="1:11" x14ac:dyDescent="0.2">
      <c r="A21" s="11" t="s">
        <v>12</v>
      </c>
      <c r="B21" s="35">
        <f t="shared" ref="B21:I21" si="5">SUM(B9:B20)</f>
        <v>0</v>
      </c>
      <c r="C21" s="35">
        <f t="shared" si="5"/>
        <v>237502.19000000003</v>
      </c>
      <c r="D21" s="36">
        <f t="shared" si="5"/>
        <v>147538.88</v>
      </c>
      <c r="E21" s="35">
        <f t="shared" si="5"/>
        <v>385041.07000000007</v>
      </c>
      <c r="F21" s="35">
        <f t="shared" si="5"/>
        <v>363791.66666666674</v>
      </c>
      <c r="G21" s="36">
        <f t="shared" si="5"/>
        <v>1893669.5599999996</v>
      </c>
      <c r="H21" s="35">
        <f>SUM(H9:H20)</f>
        <v>1818958.3333333333</v>
      </c>
      <c r="I21" s="36">
        <f t="shared" si="5"/>
        <v>4365500</v>
      </c>
      <c r="J21" s="40">
        <f t="shared" si="3"/>
        <v>0.43378068033444039</v>
      </c>
      <c r="K21" s="2"/>
    </row>
    <row r="22" spans="1:11" x14ac:dyDescent="0.2">
      <c r="A22" s="11"/>
    </row>
    <row r="23" spans="1:11" x14ac:dyDescent="0.2">
      <c r="A23" s="11" t="s">
        <v>13</v>
      </c>
      <c r="B23" s="1" t="s">
        <v>57</v>
      </c>
      <c r="C23" t="s">
        <v>58</v>
      </c>
      <c r="D23" s="8" t="s">
        <v>59</v>
      </c>
      <c r="E23" s="1" t="s">
        <v>60</v>
      </c>
      <c r="F23" s="1" t="s">
        <v>61</v>
      </c>
      <c r="G23" s="8" t="s">
        <v>62</v>
      </c>
      <c r="H23" s="1" t="s">
        <v>62</v>
      </c>
      <c r="I23" s="8" t="s">
        <v>63</v>
      </c>
      <c r="J23" s="16">
        <f>+J6</f>
        <v>0.42</v>
      </c>
    </row>
    <row r="24" spans="1:11" x14ac:dyDescent="0.2">
      <c r="A24" s="11"/>
      <c r="B24" s="1"/>
      <c r="D24" s="8"/>
      <c r="E24" s="1" t="s">
        <v>68</v>
      </c>
      <c r="F24" s="1" t="s">
        <v>65</v>
      </c>
      <c r="G24" s="8" t="s">
        <v>68</v>
      </c>
      <c r="H24" s="1" t="s">
        <v>67</v>
      </c>
      <c r="I24" s="8" t="s">
        <v>67</v>
      </c>
      <c r="J24" s="17" t="s">
        <v>65</v>
      </c>
    </row>
    <row r="25" spans="1:11" x14ac:dyDescent="0.2">
      <c r="A25" s="11"/>
      <c r="B25" s="1"/>
      <c r="D25" s="8"/>
      <c r="E25" s="1"/>
      <c r="F25" s="1"/>
      <c r="G25" s="8"/>
      <c r="H25" s="1"/>
      <c r="I25" s="8"/>
      <c r="J25" s="17" t="s">
        <v>75</v>
      </c>
    </row>
    <row r="26" spans="1:11" x14ac:dyDescent="0.2">
      <c r="A26" s="11" t="s">
        <v>14</v>
      </c>
      <c r="B26" s="13">
        <v>22967.68</v>
      </c>
      <c r="C26" s="13">
        <v>33140.5</v>
      </c>
      <c r="D26" s="13">
        <v>12253.78</v>
      </c>
      <c r="E26" s="14">
        <f t="shared" ref="E26:E38" si="6">B26+C26+D26</f>
        <v>68361.960000000006</v>
      </c>
      <c r="F26" s="14">
        <f t="shared" ref="F26:F38" si="7">I26/12</f>
        <v>84166.666666666672</v>
      </c>
      <c r="G26" s="13">
        <v>539828.43000000005</v>
      </c>
      <c r="H26" s="14">
        <f t="shared" ref="H26:H38" si="8">F26*5</f>
        <v>420833.33333333337</v>
      </c>
      <c r="I26" s="13">
        <v>1010000</v>
      </c>
      <c r="J26" s="34">
        <f t="shared" ref="J26:J38" si="9">+G26/I26</f>
        <v>0.53448359405940604</v>
      </c>
    </row>
    <row r="27" spans="1:11" x14ac:dyDescent="0.2">
      <c r="A27" s="11" t="s">
        <v>15</v>
      </c>
      <c r="B27" s="13">
        <v>1843.41</v>
      </c>
      <c r="C27" s="13">
        <v>3033.61</v>
      </c>
      <c r="D27" s="13">
        <v>987.73</v>
      </c>
      <c r="E27" s="14">
        <f t="shared" si="6"/>
        <v>5864.75</v>
      </c>
      <c r="F27" s="14">
        <f t="shared" si="7"/>
        <v>6666.666666666667</v>
      </c>
      <c r="G27" s="13">
        <v>44814.84</v>
      </c>
      <c r="H27" s="14">
        <f t="shared" si="8"/>
        <v>33333.333333333336</v>
      </c>
      <c r="I27" s="13">
        <v>80000</v>
      </c>
      <c r="J27" s="34">
        <f t="shared" si="9"/>
        <v>0.5601855</v>
      </c>
    </row>
    <row r="28" spans="1:11" x14ac:dyDescent="0.2">
      <c r="A28" s="11" t="s">
        <v>16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625</v>
      </c>
      <c r="G28" s="13">
        <f t="shared" ref="G28:G37" si="10">E28</f>
        <v>0</v>
      </c>
      <c r="H28" s="14">
        <f t="shared" si="8"/>
        <v>3125</v>
      </c>
      <c r="I28" s="13">
        <v>7500</v>
      </c>
      <c r="J28" s="34">
        <f t="shared" si="9"/>
        <v>0</v>
      </c>
    </row>
    <row r="29" spans="1:11" x14ac:dyDescent="0.2">
      <c r="A29" s="11" t="s">
        <v>17</v>
      </c>
      <c r="B29" s="13">
        <v>1392.32</v>
      </c>
      <c r="C29" s="13">
        <v>754.88</v>
      </c>
      <c r="D29" s="13">
        <v>758.48</v>
      </c>
      <c r="E29" s="14">
        <f t="shared" si="6"/>
        <v>2905.68</v>
      </c>
      <c r="F29" s="14">
        <f t="shared" si="7"/>
        <v>3600</v>
      </c>
      <c r="G29" s="13">
        <v>18645.2</v>
      </c>
      <c r="H29" s="14">
        <f t="shared" si="8"/>
        <v>18000</v>
      </c>
      <c r="I29" s="13">
        <v>43200</v>
      </c>
      <c r="J29" s="34">
        <f t="shared" si="9"/>
        <v>0.43160185185185185</v>
      </c>
    </row>
    <row r="30" spans="1:11" x14ac:dyDescent="0.2">
      <c r="A30" s="11" t="s">
        <v>18</v>
      </c>
      <c r="B30" s="13">
        <v>0</v>
      </c>
      <c r="C30" s="13">
        <v>0</v>
      </c>
      <c r="D30" s="13">
        <v>0</v>
      </c>
      <c r="E30" s="14">
        <f t="shared" si="6"/>
        <v>0</v>
      </c>
      <c r="F30" s="14">
        <f t="shared" si="7"/>
        <v>8750</v>
      </c>
      <c r="G30" s="13">
        <v>105312.99</v>
      </c>
      <c r="H30" s="14">
        <f t="shared" si="8"/>
        <v>43750</v>
      </c>
      <c r="I30" s="13">
        <v>105000</v>
      </c>
      <c r="J30" s="34">
        <f t="shared" si="9"/>
        <v>1.0029808571428571</v>
      </c>
    </row>
    <row r="31" spans="1:11" x14ac:dyDescent="0.2">
      <c r="A31" s="11" t="s">
        <v>19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833.33333333333337</v>
      </c>
      <c r="G31" s="13">
        <f t="shared" si="10"/>
        <v>0</v>
      </c>
      <c r="H31" s="14">
        <f t="shared" si="8"/>
        <v>4166.666666666667</v>
      </c>
      <c r="I31" s="13">
        <f>10000</f>
        <v>10000</v>
      </c>
      <c r="J31" s="34">
        <f t="shared" si="9"/>
        <v>0</v>
      </c>
    </row>
    <row r="32" spans="1:11" x14ac:dyDescent="0.2">
      <c r="A32" s="11" t="s">
        <v>20</v>
      </c>
      <c r="B32" s="13">
        <v>0</v>
      </c>
      <c r="C32" s="13">
        <v>0</v>
      </c>
      <c r="D32" s="13">
        <v>0</v>
      </c>
      <c r="E32" s="14">
        <f t="shared" si="6"/>
        <v>0</v>
      </c>
      <c r="F32" s="14">
        <f t="shared" si="7"/>
        <v>2083.3333333333335</v>
      </c>
      <c r="G32" s="13">
        <v>14175</v>
      </c>
      <c r="H32" s="14">
        <f t="shared" si="8"/>
        <v>10416.666666666668</v>
      </c>
      <c r="I32" s="13">
        <v>25000</v>
      </c>
      <c r="J32" s="34">
        <f t="shared" si="9"/>
        <v>0.56699999999999995</v>
      </c>
    </row>
    <row r="33" spans="1:19" x14ac:dyDescent="0.2">
      <c r="A33" s="11" t="s">
        <v>21</v>
      </c>
      <c r="B33" s="13">
        <v>0</v>
      </c>
      <c r="C33" s="13">
        <v>0</v>
      </c>
      <c r="D33" s="13">
        <v>0</v>
      </c>
      <c r="E33" s="14">
        <f t="shared" si="6"/>
        <v>0</v>
      </c>
      <c r="F33" s="14">
        <f t="shared" si="7"/>
        <v>1750</v>
      </c>
      <c r="G33" s="13">
        <v>3467.44</v>
      </c>
      <c r="H33" s="14">
        <f t="shared" si="8"/>
        <v>8750</v>
      </c>
      <c r="I33" s="13">
        <v>21000</v>
      </c>
      <c r="J33" s="34">
        <f t="shared" si="9"/>
        <v>0.16511619047619047</v>
      </c>
    </row>
    <row r="34" spans="1:19" x14ac:dyDescent="0.2">
      <c r="A34" s="11" t="s">
        <v>22</v>
      </c>
      <c r="B34" s="13">
        <v>0</v>
      </c>
      <c r="C34" s="13">
        <v>880.82</v>
      </c>
      <c r="D34" s="13">
        <v>779.68</v>
      </c>
      <c r="E34" s="14">
        <f t="shared" si="6"/>
        <v>1660.5</v>
      </c>
      <c r="F34" s="14">
        <f t="shared" si="7"/>
        <v>2666.6666666666665</v>
      </c>
      <c r="G34" s="13">
        <v>7560.91</v>
      </c>
      <c r="H34" s="14">
        <f t="shared" si="8"/>
        <v>13333.333333333332</v>
      </c>
      <c r="I34" s="13">
        <v>32000</v>
      </c>
      <c r="J34" s="34">
        <f t="shared" si="9"/>
        <v>0.23627843749999999</v>
      </c>
    </row>
    <row r="35" spans="1:19" x14ac:dyDescent="0.2">
      <c r="A35" s="11" t="s">
        <v>23</v>
      </c>
      <c r="B35" s="13">
        <v>178.12</v>
      </c>
      <c r="C35" s="13">
        <v>4059.56</v>
      </c>
      <c r="D35" s="13">
        <v>4059.58</v>
      </c>
      <c r="E35" s="14">
        <f t="shared" si="6"/>
        <v>8297.26</v>
      </c>
      <c r="F35" s="14">
        <f t="shared" si="7"/>
        <v>10833.333333333334</v>
      </c>
      <c r="G35" s="13">
        <v>44347</v>
      </c>
      <c r="H35" s="14">
        <f t="shared" si="8"/>
        <v>54166.666666666672</v>
      </c>
      <c r="I35" s="13">
        <v>130000</v>
      </c>
      <c r="J35" s="34">
        <f t="shared" si="9"/>
        <v>0.34113076923076924</v>
      </c>
    </row>
    <row r="36" spans="1:19" x14ac:dyDescent="0.2">
      <c r="A36" s="11" t="s">
        <v>24</v>
      </c>
      <c r="B36" s="13">
        <v>0</v>
      </c>
      <c r="C36" s="13">
        <v>0</v>
      </c>
      <c r="D36" s="13">
        <v>0</v>
      </c>
      <c r="E36" s="14">
        <f t="shared" si="6"/>
        <v>0</v>
      </c>
      <c r="F36" s="14">
        <f t="shared" si="7"/>
        <v>1666.6666666666667</v>
      </c>
      <c r="G36" s="13">
        <v>428.19</v>
      </c>
      <c r="H36" s="14">
        <f t="shared" si="8"/>
        <v>8333.3333333333339</v>
      </c>
      <c r="I36" s="13">
        <v>20000</v>
      </c>
      <c r="J36" s="34">
        <f t="shared" si="9"/>
        <v>2.1409500000000001E-2</v>
      </c>
    </row>
    <row r="37" spans="1:19" x14ac:dyDescent="0.2">
      <c r="A37" s="11" t="s">
        <v>25</v>
      </c>
      <c r="B37" s="13">
        <v>0</v>
      </c>
      <c r="C37" s="13">
        <v>0</v>
      </c>
      <c r="D37" s="13">
        <v>0</v>
      </c>
      <c r="E37" s="14">
        <f t="shared" si="6"/>
        <v>0</v>
      </c>
      <c r="F37" s="14">
        <f t="shared" si="7"/>
        <v>250</v>
      </c>
      <c r="G37" s="13">
        <f t="shared" si="10"/>
        <v>0</v>
      </c>
      <c r="H37" s="14">
        <f t="shared" si="8"/>
        <v>1250</v>
      </c>
      <c r="I37" s="13">
        <f>1500+1500</f>
        <v>3000</v>
      </c>
      <c r="J37" s="34">
        <f t="shared" si="9"/>
        <v>0</v>
      </c>
    </row>
    <row r="38" spans="1:19" x14ac:dyDescent="0.2">
      <c r="A38" s="11" t="s">
        <v>26</v>
      </c>
      <c r="B38" s="13">
        <v>0</v>
      </c>
      <c r="C38" s="13">
        <v>42656</v>
      </c>
      <c r="D38" s="13">
        <v>0</v>
      </c>
      <c r="E38" s="14">
        <f t="shared" si="6"/>
        <v>42656</v>
      </c>
      <c r="F38" s="14">
        <f t="shared" si="7"/>
        <v>30833.333333333332</v>
      </c>
      <c r="G38" s="13">
        <v>109819</v>
      </c>
      <c r="H38" s="14">
        <f t="shared" si="8"/>
        <v>154166.66666666666</v>
      </c>
      <c r="I38" s="13">
        <v>370000</v>
      </c>
      <c r="J38" s="34">
        <f t="shared" si="9"/>
        <v>0.29680810810810809</v>
      </c>
    </row>
    <row r="39" spans="1:19" x14ac:dyDescent="0.2">
      <c r="A39" s="11"/>
      <c r="B39" s="14"/>
      <c r="C39" s="13"/>
      <c r="D39" s="13"/>
      <c r="E39" s="14"/>
      <c r="F39" s="14"/>
      <c r="G39" s="13"/>
      <c r="H39" s="14"/>
      <c r="I39" s="13"/>
    </row>
    <row r="40" spans="1:19" x14ac:dyDescent="0.2">
      <c r="A40" s="11"/>
      <c r="B40" s="2"/>
      <c r="C40" s="6"/>
      <c r="D40" s="6"/>
      <c r="E40" s="2"/>
      <c r="F40" s="2"/>
      <c r="G40" s="6"/>
      <c r="H40" s="2"/>
      <c r="I40" s="6"/>
    </row>
    <row r="41" spans="1:19" x14ac:dyDescent="0.2">
      <c r="A41" s="11"/>
      <c r="B41" s="1"/>
      <c r="C41" s="7"/>
      <c r="D41" s="8"/>
      <c r="E41" s="1"/>
      <c r="F41" s="1"/>
      <c r="G41" s="8"/>
      <c r="H41" s="1"/>
      <c r="I41" s="8"/>
      <c r="K41" s="1"/>
      <c r="L41" s="1"/>
      <c r="N41" s="1"/>
      <c r="O41" s="1"/>
      <c r="P41" s="1"/>
      <c r="Q41" s="1"/>
      <c r="R41" s="1"/>
      <c r="S41" s="1"/>
    </row>
    <row r="42" spans="1:19" x14ac:dyDescent="0.2">
      <c r="A42" s="11"/>
      <c r="B42" s="2"/>
      <c r="C42" s="6"/>
      <c r="D42" s="6"/>
      <c r="E42" s="2"/>
      <c r="F42" s="2"/>
      <c r="G42" s="6"/>
      <c r="H42" s="2"/>
      <c r="I42" s="6"/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1" t="s">
        <v>60</v>
      </c>
      <c r="F43" s="1" t="s">
        <v>61</v>
      </c>
      <c r="G43" s="8" t="s">
        <v>62</v>
      </c>
      <c r="H43" s="1" t="s">
        <v>62</v>
      </c>
      <c r="I43" s="8" t="s">
        <v>63</v>
      </c>
      <c r="J43" s="16">
        <f>+J6</f>
        <v>0.42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/>
      <c r="B44" s="1"/>
      <c r="C44" s="7"/>
      <c r="D44" s="8"/>
      <c r="E44" s="1" t="s">
        <v>68</v>
      </c>
      <c r="F44" s="1" t="s">
        <v>65</v>
      </c>
      <c r="G44" s="8" t="s">
        <v>68</v>
      </c>
      <c r="H44" s="1" t="s">
        <v>67</v>
      </c>
      <c r="I44" s="8" t="s">
        <v>67</v>
      </c>
      <c r="J44" s="17" t="s">
        <v>65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/>
      <c r="B45" s="1"/>
      <c r="C45" s="7"/>
      <c r="D45" s="8"/>
      <c r="E45" s="1"/>
      <c r="F45" s="1"/>
      <c r="G45" s="8"/>
      <c r="H45" s="1"/>
      <c r="I45" s="8"/>
      <c r="J45" s="17" t="s">
        <v>75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27</v>
      </c>
      <c r="B46" s="6">
        <v>5658.51</v>
      </c>
      <c r="C46" s="6">
        <v>7924.26</v>
      </c>
      <c r="D46" s="6">
        <v>4061.24</v>
      </c>
      <c r="E46" s="2">
        <f t="shared" ref="E46:E72" si="11">B46+C46+D46</f>
        <v>17644.010000000002</v>
      </c>
      <c r="F46" s="2">
        <f t="shared" ref="F46:F48" si="12">I46/12</f>
        <v>16500</v>
      </c>
      <c r="G46" s="6">
        <v>85918.6</v>
      </c>
      <c r="H46" s="14">
        <f t="shared" ref="H46:H72" si="13">F46*5</f>
        <v>82500</v>
      </c>
      <c r="I46" s="6">
        <v>198000</v>
      </c>
      <c r="J46" s="34">
        <f t="shared" ref="J46:J73" si="14">+G46/I46</f>
        <v>0.43393232323232328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28</v>
      </c>
      <c r="B47" s="13">
        <v>991</v>
      </c>
      <c r="C47" s="13">
        <v>991</v>
      </c>
      <c r="D47" s="13">
        <v>991</v>
      </c>
      <c r="E47" s="14">
        <f t="shared" si="11"/>
        <v>2973</v>
      </c>
      <c r="F47" s="14">
        <f t="shared" si="12"/>
        <v>25520.833333333332</v>
      </c>
      <c r="G47" s="13">
        <v>293204</v>
      </c>
      <c r="H47" s="14">
        <f t="shared" si="13"/>
        <v>127604.16666666666</v>
      </c>
      <c r="I47" s="13">
        <v>306250</v>
      </c>
      <c r="J47" s="34">
        <f t="shared" si="14"/>
        <v>0.95740081632653062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29</v>
      </c>
      <c r="B48" s="13">
        <v>0</v>
      </c>
      <c r="C48" s="13">
        <v>134.99</v>
      </c>
      <c r="D48" s="13">
        <v>135</v>
      </c>
      <c r="E48" s="14">
        <f t="shared" si="11"/>
        <v>269.99</v>
      </c>
      <c r="F48" s="14">
        <f t="shared" si="12"/>
        <v>416.66666666666669</v>
      </c>
      <c r="G48" s="13">
        <v>1236.0899999999999</v>
      </c>
      <c r="H48" s="14">
        <f t="shared" si="13"/>
        <v>2083.3333333333335</v>
      </c>
      <c r="I48" s="13">
        <f>2500+2500</f>
        <v>5000</v>
      </c>
      <c r="J48" s="34">
        <f t="shared" si="14"/>
        <v>0.24721799999999999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30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>I49/12</f>
        <v>1333.3333333333333</v>
      </c>
      <c r="G49" s="13">
        <v>3693.09</v>
      </c>
      <c r="H49" s="14">
        <f t="shared" si="13"/>
        <v>6666.6666666666661</v>
      </c>
      <c r="I49" s="13">
        <f>8000+8000</f>
        <v>16000</v>
      </c>
      <c r="J49" s="34">
        <f t="shared" si="14"/>
        <v>0.23081812500000001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32</v>
      </c>
      <c r="B50" s="13">
        <v>0</v>
      </c>
      <c r="C50" s="13">
        <v>0</v>
      </c>
      <c r="D50" s="13">
        <v>0</v>
      </c>
      <c r="E50" s="14">
        <f t="shared" si="11"/>
        <v>0</v>
      </c>
      <c r="F50" s="14">
        <f t="shared" ref="F50:F72" si="15">I50/12</f>
        <v>6500</v>
      </c>
      <c r="G50" s="13">
        <v>0</v>
      </c>
      <c r="H50" s="14">
        <f t="shared" si="13"/>
        <v>32500</v>
      </c>
      <c r="I50" s="13">
        <v>78000</v>
      </c>
      <c r="J50" s="34">
        <f t="shared" si="14"/>
        <v>0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33</v>
      </c>
      <c r="B51" s="13">
        <v>0</v>
      </c>
      <c r="C51" s="13">
        <v>0</v>
      </c>
      <c r="D51" s="13">
        <v>0</v>
      </c>
      <c r="E51" s="14">
        <f t="shared" si="11"/>
        <v>0</v>
      </c>
      <c r="F51" s="14">
        <f t="shared" si="15"/>
        <v>750</v>
      </c>
      <c r="G51" s="13">
        <v>1145.9100000000001</v>
      </c>
      <c r="H51" s="14">
        <f t="shared" si="13"/>
        <v>3750</v>
      </c>
      <c r="I51" s="13">
        <v>9000</v>
      </c>
      <c r="J51" s="34">
        <f t="shared" si="14"/>
        <v>0.12732333333333334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34</v>
      </c>
      <c r="B52" s="13">
        <v>0</v>
      </c>
      <c r="C52" s="13">
        <v>263.7</v>
      </c>
      <c r="D52" s="13">
        <v>248.99</v>
      </c>
      <c r="E52" s="14">
        <f t="shared" si="11"/>
        <v>512.69000000000005</v>
      </c>
      <c r="F52" s="14">
        <f t="shared" si="15"/>
        <v>1250</v>
      </c>
      <c r="G52" s="13">
        <v>6470.16</v>
      </c>
      <c r="H52" s="14">
        <f t="shared" si="13"/>
        <v>6250</v>
      </c>
      <c r="I52" s="13">
        <v>15000</v>
      </c>
      <c r="J52" s="34">
        <f t="shared" si="14"/>
        <v>0.43134400000000001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35</v>
      </c>
      <c r="B53" s="13">
        <v>0</v>
      </c>
      <c r="C53" s="13">
        <v>930.44</v>
      </c>
      <c r="D53" s="13">
        <v>825.48</v>
      </c>
      <c r="E53" s="14">
        <f t="shared" si="11"/>
        <v>1755.92</v>
      </c>
      <c r="F53" s="14">
        <f t="shared" si="15"/>
        <v>13750</v>
      </c>
      <c r="G53" s="13">
        <v>36880.04</v>
      </c>
      <c r="H53" s="14">
        <f t="shared" si="13"/>
        <v>68750</v>
      </c>
      <c r="I53" s="13">
        <v>165000</v>
      </c>
      <c r="J53" s="34">
        <f t="shared" si="14"/>
        <v>0.22351539393939396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36</v>
      </c>
      <c r="B54" s="13">
        <v>0</v>
      </c>
      <c r="C54" s="13">
        <v>108224.39</v>
      </c>
      <c r="D54" s="13">
        <v>0</v>
      </c>
      <c r="E54" s="14">
        <f t="shared" si="11"/>
        <v>108224.39</v>
      </c>
      <c r="F54" s="14">
        <f t="shared" si="15"/>
        <v>91666.666666666672</v>
      </c>
      <c r="G54" s="13">
        <v>455063.33</v>
      </c>
      <c r="H54" s="14">
        <f t="shared" si="13"/>
        <v>458333.33333333337</v>
      </c>
      <c r="I54" s="13">
        <v>1100000</v>
      </c>
      <c r="J54" s="34">
        <f t="shared" si="14"/>
        <v>0.41369393636363638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37</v>
      </c>
      <c r="B55" s="13">
        <v>0</v>
      </c>
      <c r="C55" s="13">
        <v>0</v>
      </c>
      <c r="D55" s="13">
        <v>0</v>
      </c>
      <c r="E55" s="14">
        <f t="shared" si="11"/>
        <v>0</v>
      </c>
      <c r="F55" s="14">
        <f t="shared" si="15"/>
        <v>875</v>
      </c>
      <c r="G55" s="13">
        <v>1400.19</v>
      </c>
      <c r="H55" s="14">
        <f t="shared" si="13"/>
        <v>4375</v>
      </c>
      <c r="I55" s="13">
        <v>10500</v>
      </c>
      <c r="J55" s="34">
        <f t="shared" si="14"/>
        <v>0.13335142857142857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38</v>
      </c>
      <c r="B56" s="13">
        <v>0</v>
      </c>
      <c r="C56" s="13">
        <v>6279</v>
      </c>
      <c r="D56" s="13">
        <v>0</v>
      </c>
      <c r="E56" s="14">
        <f t="shared" si="11"/>
        <v>6279</v>
      </c>
      <c r="F56" s="14">
        <f t="shared" si="15"/>
        <v>3333.3333333333335</v>
      </c>
      <c r="G56" s="13">
        <v>31918.25</v>
      </c>
      <c r="H56" s="14">
        <f t="shared" si="13"/>
        <v>16666.666666666668</v>
      </c>
      <c r="I56" s="13">
        <v>40000</v>
      </c>
      <c r="J56" s="34">
        <f t="shared" si="14"/>
        <v>0.79795625000000003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39</v>
      </c>
      <c r="B57" s="13">
        <v>0</v>
      </c>
      <c r="C57" s="13">
        <v>847.17</v>
      </c>
      <c r="D57" s="13">
        <v>0</v>
      </c>
      <c r="E57" s="14">
        <f t="shared" si="11"/>
        <v>847.17</v>
      </c>
      <c r="F57" s="14">
        <f t="shared" si="15"/>
        <v>625</v>
      </c>
      <c r="G57" s="13">
        <v>1891.09</v>
      </c>
      <c r="H57" s="14">
        <f t="shared" si="13"/>
        <v>3125</v>
      </c>
      <c r="I57" s="13">
        <v>7500</v>
      </c>
      <c r="J57" s="34">
        <f t="shared" si="14"/>
        <v>0.25214533333333333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40</v>
      </c>
      <c r="B58" s="13">
        <v>0</v>
      </c>
      <c r="C58" s="13">
        <v>0</v>
      </c>
      <c r="D58" s="13">
        <v>0</v>
      </c>
      <c r="E58" s="14">
        <f t="shared" si="11"/>
        <v>0</v>
      </c>
      <c r="F58" s="14">
        <f t="shared" si="15"/>
        <v>875</v>
      </c>
      <c r="G58" s="13">
        <v>2040.99</v>
      </c>
      <c r="H58" s="14">
        <f t="shared" si="13"/>
        <v>4375</v>
      </c>
      <c r="I58" s="13">
        <v>10500</v>
      </c>
      <c r="J58" s="34">
        <f t="shared" si="14"/>
        <v>0.19438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41</v>
      </c>
      <c r="B59" s="13">
        <v>909.17</v>
      </c>
      <c r="C59" s="13">
        <v>745.66</v>
      </c>
      <c r="D59" s="13">
        <v>0</v>
      </c>
      <c r="E59" s="14">
        <f t="shared" si="11"/>
        <v>1654.83</v>
      </c>
      <c r="F59" s="14">
        <f t="shared" si="15"/>
        <v>2500</v>
      </c>
      <c r="G59" s="13">
        <v>23545.200000000001</v>
      </c>
      <c r="H59" s="14">
        <f t="shared" si="13"/>
        <v>12500</v>
      </c>
      <c r="I59" s="13">
        <v>30000</v>
      </c>
      <c r="J59" s="34">
        <f t="shared" si="14"/>
        <v>0.78483999999999998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42</v>
      </c>
      <c r="B60" s="13">
        <v>0</v>
      </c>
      <c r="C60" s="13">
        <v>0</v>
      </c>
      <c r="D60" s="13">
        <v>0</v>
      </c>
      <c r="E60" s="14">
        <f t="shared" si="11"/>
        <v>0</v>
      </c>
      <c r="F60" s="14">
        <f t="shared" si="15"/>
        <v>13333.333333333334</v>
      </c>
      <c r="G60" s="13">
        <v>34673.47</v>
      </c>
      <c r="H60" s="14">
        <f t="shared" si="13"/>
        <v>66666.666666666672</v>
      </c>
      <c r="I60" s="13">
        <v>160000</v>
      </c>
      <c r="J60" s="34">
        <f t="shared" si="14"/>
        <v>0.21670918750000001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43</v>
      </c>
      <c r="B61" s="13">
        <v>0</v>
      </c>
      <c r="C61" s="13">
        <v>3767.47</v>
      </c>
      <c r="D61" s="13">
        <v>0</v>
      </c>
      <c r="E61" s="14">
        <f t="shared" si="11"/>
        <v>3767.47</v>
      </c>
      <c r="F61" s="14">
        <f t="shared" si="15"/>
        <v>3333.3333333333335</v>
      </c>
      <c r="G61" s="13">
        <v>21369.74</v>
      </c>
      <c r="H61" s="14">
        <f t="shared" si="13"/>
        <v>16666.666666666668</v>
      </c>
      <c r="I61" s="13">
        <v>40000</v>
      </c>
      <c r="J61" s="34">
        <f t="shared" si="14"/>
        <v>0.53424350000000009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44</v>
      </c>
      <c r="B62" s="13">
        <v>0</v>
      </c>
      <c r="C62" s="13">
        <v>0</v>
      </c>
      <c r="D62" s="13">
        <v>0</v>
      </c>
      <c r="E62" s="14">
        <f t="shared" si="11"/>
        <v>0</v>
      </c>
      <c r="F62" s="14">
        <f t="shared" si="15"/>
        <v>1583.3333333333333</v>
      </c>
      <c r="G62" s="13">
        <v>22802</v>
      </c>
      <c r="H62" s="14">
        <f t="shared" si="13"/>
        <v>7916.6666666666661</v>
      </c>
      <c r="I62" s="13">
        <v>19000</v>
      </c>
      <c r="J62" s="34">
        <f t="shared" si="14"/>
        <v>1.2001052631578948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45</v>
      </c>
      <c r="B63" s="13">
        <v>0</v>
      </c>
      <c r="C63" s="13">
        <v>50</v>
      </c>
      <c r="D63" s="13">
        <v>0</v>
      </c>
      <c r="E63" s="14">
        <f t="shared" si="11"/>
        <v>50</v>
      </c>
      <c r="F63" s="14">
        <f t="shared" si="15"/>
        <v>1416.6666666666667</v>
      </c>
      <c r="G63" s="13">
        <v>9554.85</v>
      </c>
      <c r="H63" s="14">
        <f t="shared" si="13"/>
        <v>7083.3333333333339</v>
      </c>
      <c r="I63" s="13">
        <v>17000</v>
      </c>
      <c r="J63" s="34">
        <f t="shared" si="14"/>
        <v>0.56205000000000005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46</v>
      </c>
      <c r="B64" s="13">
        <v>969.08</v>
      </c>
      <c r="C64" s="13">
        <v>0</v>
      </c>
      <c r="D64" s="13">
        <v>0</v>
      </c>
      <c r="E64" s="14">
        <f t="shared" si="11"/>
        <v>969.08</v>
      </c>
      <c r="F64" s="14">
        <f t="shared" si="15"/>
        <v>1666.6666666666667</v>
      </c>
      <c r="G64" s="13">
        <v>8795.1299999999992</v>
      </c>
      <c r="H64" s="14">
        <f t="shared" si="13"/>
        <v>8333.3333333333339</v>
      </c>
      <c r="I64" s="13">
        <v>20000</v>
      </c>
      <c r="J64" s="34">
        <f t="shared" si="14"/>
        <v>0.43975649999999994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47</v>
      </c>
      <c r="B65" s="13">
        <v>12305.99</v>
      </c>
      <c r="C65" s="13">
        <v>0</v>
      </c>
      <c r="D65" s="13">
        <v>0</v>
      </c>
      <c r="E65" s="14">
        <f t="shared" si="11"/>
        <v>12305.99</v>
      </c>
      <c r="F65" s="14">
        <f t="shared" si="15"/>
        <v>12541.666666666666</v>
      </c>
      <c r="G65" s="13">
        <v>64045.48</v>
      </c>
      <c r="H65" s="14">
        <f t="shared" si="13"/>
        <v>62708.333333333328</v>
      </c>
      <c r="I65" s="13">
        <v>150500</v>
      </c>
      <c r="J65" s="34">
        <f t="shared" si="14"/>
        <v>0.42555136212624589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48</v>
      </c>
      <c r="B66" s="13">
        <v>0</v>
      </c>
      <c r="C66" s="13">
        <v>0</v>
      </c>
      <c r="D66" s="13">
        <v>0</v>
      </c>
      <c r="E66" s="14">
        <f t="shared" si="11"/>
        <v>0</v>
      </c>
      <c r="F66" s="14">
        <f t="shared" si="15"/>
        <v>83.333333333333329</v>
      </c>
      <c r="G66" s="13">
        <v>115</v>
      </c>
      <c r="H66" s="14">
        <f t="shared" si="13"/>
        <v>416.66666666666663</v>
      </c>
      <c r="I66" s="13">
        <v>1000</v>
      </c>
      <c r="J66" s="34">
        <f t="shared" si="14"/>
        <v>0.115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49</v>
      </c>
      <c r="B67" s="13">
        <v>35</v>
      </c>
      <c r="C67" s="13">
        <v>0</v>
      </c>
      <c r="D67" s="13">
        <v>0</v>
      </c>
      <c r="E67" s="14">
        <f t="shared" si="11"/>
        <v>35</v>
      </c>
      <c r="F67" s="14">
        <f t="shared" si="15"/>
        <v>208.33333333333334</v>
      </c>
      <c r="G67" s="13">
        <v>672.75</v>
      </c>
      <c r="H67" s="14">
        <f t="shared" si="13"/>
        <v>1041.6666666666667</v>
      </c>
      <c r="I67" s="13">
        <v>2500</v>
      </c>
      <c r="J67" s="34">
        <f t="shared" si="14"/>
        <v>0.26910000000000001</v>
      </c>
      <c r="K67" s="1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11" t="s">
        <v>50</v>
      </c>
      <c r="B68" s="13">
        <v>0</v>
      </c>
      <c r="C68" s="13">
        <v>0</v>
      </c>
      <c r="D68" s="13">
        <v>0</v>
      </c>
      <c r="E68" s="14">
        <f t="shared" si="11"/>
        <v>0</v>
      </c>
      <c r="F68" s="14">
        <f t="shared" si="15"/>
        <v>2500</v>
      </c>
      <c r="G68" s="13">
        <v>13790.5</v>
      </c>
      <c r="H68" s="14">
        <f t="shared" si="13"/>
        <v>12500</v>
      </c>
      <c r="I68" s="13">
        <v>30000</v>
      </c>
      <c r="J68" s="34">
        <f t="shared" si="14"/>
        <v>0.45968333333333333</v>
      </c>
      <c r="K68" s="1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11" t="s">
        <v>52</v>
      </c>
      <c r="B69" s="13">
        <v>0</v>
      </c>
      <c r="C69" s="13">
        <v>5097.08</v>
      </c>
      <c r="D69" s="13">
        <v>0</v>
      </c>
      <c r="E69" s="14">
        <f t="shared" si="11"/>
        <v>5097.08</v>
      </c>
      <c r="F69" s="14">
        <f t="shared" si="15"/>
        <v>4000</v>
      </c>
      <c r="G69" s="13">
        <v>21137.42</v>
      </c>
      <c r="H69" s="14">
        <f t="shared" si="13"/>
        <v>20000</v>
      </c>
      <c r="I69" s="13">
        <v>48000</v>
      </c>
      <c r="J69" s="34">
        <f t="shared" si="14"/>
        <v>0.4403629166666666</v>
      </c>
      <c r="K69" s="1"/>
      <c r="L69" s="2"/>
      <c r="M69" s="2"/>
      <c r="N69" s="2"/>
      <c r="O69" s="3"/>
      <c r="Q69" s="3"/>
    </row>
    <row r="70" spans="1:19" x14ac:dyDescent="0.2">
      <c r="A70" s="11" t="s">
        <v>53</v>
      </c>
      <c r="B70" s="13">
        <v>0</v>
      </c>
      <c r="C70" s="13">
        <v>1285</v>
      </c>
      <c r="D70" s="13">
        <v>0</v>
      </c>
      <c r="E70" s="14">
        <f t="shared" si="11"/>
        <v>1285</v>
      </c>
      <c r="F70" s="14">
        <f t="shared" si="15"/>
        <v>833.33333333333337</v>
      </c>
      <c r="G70" s="13">
        <v>4368.66</v>
      </c>
      <c r="H70" s="14">
        <f t="shared" si="13"/>
        <v>4166.666666666667</v>
      </c>
      <c r="I70" s="13">
        <v>10000</v>
      </c>
      <c r="J70" s="34">
        <f t="shared" si="14"/>
        <v>0.43686599999999998</v>
      </c>
    </row>
    <row r="71" spans="1:19" x14ac:dyDescent="0.2">
      <c r="A71" s="11" t="s">
        <v>54</v>
      </c>
      <c r="B71" s="13">
        <v>0</v>
      </c>
      <c r="C71" s="13">
        <v>0</v>
      </c>
      <c r="D71" s="13">
        <v>0</v>
      </c>
      <c r="E71" s="14">
        <f t="shared" si="11"/>
        <v>0</v>
      </c>
      <c r="F71" s="14">
        <f t="shared" si="15"/>
        <v>4.166666666666667</v>
      </c>
      <c r="G71" s="13">
        <f t="shared" ref="G71:G72" si="16">E71</f>
        <v>0</v>
      </c>
      <c r="H71" s="14">
        <f t="shared" si="13"/>
        <v>20.833333333333336</v>
      </c>
      <c r="I71" s="13">
        <v>50</v>
      </c>
      <c r="J71" s="34">
        <f t="shared" si="14"/>
        <v>0</v>
      </c>
    </row>
    <row r="72" spans="1:19" x14ac:dyDescent="0.2">
      <c r="A72" s="11" t="s">
        <v>72</v>
      </c>
      <c r="B72" s="13">
        <v>0</v>
      </c>
      <c r="C72" s="13">
        <v>0</v>
      </c>
      <c r="D72" s="13">
        <v>0</v>
      </c>
      <c r="E72" s="14">
        <f t="shared" si="11"/>
        <v>0</v>
      </c>
      <c r="F72" s="14">
        <f t="shared" si="15"/>
        <v>1666.6666666666667</v>
      </c>
      <c r="G72" s="13">
        <f t="shared" si="16"/>
        <v>0</v>
      </c>
      <c r="H72" s="14">
        <f t="shared" si="13"/>
        <v>8333.3333333333339</v>
      </c>
      <c r="I72" s="13">
        <v>20000</v>
      </c>
      <c r="J72" s="33">
        <f t="shared" si="14"/>
        <v>0</v>
      </c>
    </row>
    <row r="73" spans="1:19" x14ac:dyDescent="0.2">
      <c r="A73" s="11" t="s">
        <v>55</v>
      </c>
      <c r="B73" s="35">
        <f t="shared" ref="B73:H73" si="17">SUM(B26:B72)</f>
        <v>47250.28</v>
      </c>
      <c r="C73" s="35">
        <f t="shared" si="17"/>
        <v>221065.53</v>
      </c>
      <c r="D73" s="36">
        <f t="shared" si="17"/>
        <v>25100.959999999999</v>
      </c>
      <c r="E73" s="35">
        <f t="shared" si="17"/>
        <v>293416.77</v>
      </c>
      <c r="F73" s="35">
        <f t="shared" si="17"/>
        <v>363791.66666666663</v>
      </c>
      <c r="G73" s="36">
        <f t="shared" si="17"/>
        <v>2034130.9399999997</v>
      </c>
      <c r="H73" s="35">
        <f t="shared" si="17"/>
        <v>1818958.3333333335</v>
      </c>
      <c r="I73" s="36">
        <f>SUM(I46:I72)+SUM(I26:I38)</f>
        <v>4365500</v>
      </c>
      <c r="J73" s="37">
        <f t="shared" si="14"/>
        <v>0.46595600503951429</v>
      </c>
    </row>
    <row r="74" spans="1:19" x14ac:dyDescent="0.2">
      <c r="B74" s="14"/>
      <c r="C74" s="14" t="s">
        <v>69</v>
      </c>
      <c r="D74" s="13"/>
      <c r="E74" s="14"/>
      <c r="F74" s="14"/>
      <c r="G74" s="13"/>
      <c r="H74" s="14"/>
      <c r="I74" s="13"/>
    </row>
    <row r="75" spans="1:19" ht="13.5" thickBot="1" x14ac:dyDescent="0.25">
      <c r="A75" s="11" t="s">
        <v>56</v>
      </c>
      <c r="B75" s="38">
        <f t="shared" ref="B75:G75" si="18">B21-B73</f>
        <v>-47250.28</v>
      </c>
      <c r="C75" s="38">
        <f t="shared" si="18"/>
        <v>16436.660000000033</v>
      </c>
      <c r="D75" s="39">
        <f t="shared" si="18"/>
        <v>122437.92000000001</v>
      </c>
      <c r="E75" s="38">
        <f t="shared" si="18"/>
        <v>91624.300000000047</v>
      </c>
      <c r="F75" s="38">
        <f t="shared" si="18"/>
        <v>0</v>
      </c>
      <c r="G75" s="39">
        <f t="shared" si="18"/>
        <v>-140461.38000000012</v>
      </c>
      <c r="H75" s="10"/>
      <c r="I75" s="12"/>
    </row>
    <row r="76" spans="1:19" ht="13.5" thickTop="1" x14ac:dyDescent="0.2"/>
  </sheetData>
  <pageMargins left="0.7" right="0.7" top="0.75" bottom="0.75" header="0.3" footer="0.3"/>
  <pageSetup fitToHeight="0" orientation="landscape" r:id="rId1"/>
  <rowBreaks count="1" manualBreakCount="1">
    <brk id="36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EABD-07BE-41F4-BCFE-EF781D4EF3CA}">
  <dimension ref="A1:T76"/>
  <sheetViews>
    <sheetView workbookViewId="0">
      <selection activeCell="T18" sqref="T18"/>
    </sheetView>
  </sheetViews>
  <sheetFormatPr defaultRowHeight="12.75" x14ac:dyDescent="0.2"/>
  <cols>
    <col min="1" max="1" width="21.28515625" style="10" customWidth="1"/>
    <col min="2" max="2" width="9.42578125" bestFit="1" customWidth="1"/>
    <col min="3" max="3" width="9.85546875" bestFit="1" customWidth="1"/>
    <col min="4" max="4" width="11.140625" style="7" customWidth="1"/>
    <col min="5" max="5" width="9.42578125" style="7" bestFit="1" customWidth="1"/>
    <col min="6" max="6" width="10.7109375" bestFit="1" customWidth="1"/>
    <col min="7" max="7" width="10.5703125" customWidth="1"/>
    <col min="8" max="8" width="11.28515625" style="7" bestFit="1" customWidth="1"/>
    <col min="9" max="9" width="11.28515625" bestFit="1" customWidth="1"/>
    <col min="10" max="10" width="11.28515625" style="7" bestFit="1" customWidth="1"/>
    <col min="11" max="11" width="8.42578125" customWidth="1"/>
    <col min="12" max="12" width="11.7109375" bestFit="1" customWidth="1"/>
  </cols>
  <sheetData>
    <row r="1" spans="1:11" ht="15.75" x14ac:dyDescent="0.25">
      <c r="D1" s="31" t="s">
        <v>74</v>
      </c>
      <c r="E1" s="31"/>
    </row>
    <row r="3" spans="1:11" ht="15.75" x14ac:dyDescent="0.25">
      <c r="D3" s="31" t="s">
        <v>91</v>
      </c>
      <c r="E3" s="31"/>
    </row>
    <row r="6" spans="1:11" x14ac:dyDescent="0.2">
      <c r="B6" s="1" t="s">
        <v>57</v>
      </c>
      <c r="C6" t="s">
        <v>58</v>
      </c>
      <c r="D6" s="8" t="s">
        <v>59</v>
      </c>
      <c r="E6" s="41" t="s">
        <v>87</v>
      </c>
      <c r="F6" s="1" t="s">
        <v>60</v>
      </c>
      <c r="G6" s="1" t="s">
        <v>61</v>
      </c>
      <c r="H6" s="8" t="s">
        <v>62</v>
      </c>
      <c r="I6" s="1" t="s">
        <v>62</v>
      </c>
      <c r="J6" s="8" t="s">
        <v>63</v>
      </c>
      <c r="K6" s="16">
        <v>0.42</v>
      </c>
    </row>
    <row r="7" spans="1:11" x14ac:dyDescent="0.2">
      <c r="B7" s="1"/>
      <c r="D7" s="8"/>
      <c r="E7" s="41" t="s">
        <v>88</v>
      </c>
      <c r="F7" s="1" t="s">
        <v>64</v>
      </c>
      <c r="G7" s="1" t="s">
        <v>65</v>
      </c>
      <c r="H7" s="8" t="s">
        <v>66</v>
      </c>
      <c r="I7" s="1" t="s">
        <v>67</v>
      </c>
      <c r="J7" s="8" t="s">
        <v>67</v>
      </c>
      <c r="K7" s="17" t="s">
        <v>65</v>
      </c>
    </row>
    <row r="8" spans="1:11" x14ac:dyDescent="0.2">
      <c r="A8" s="11" t="s">
        <v>0</v>
      </c>
      <c r="K8" s="17" t="s">
        <v>75</v>
      </c>
    </row>
    <row r="9" spans="1:11" x14ac:dyDescent="0.2">
      <c r="A9" s="11" t="s">
        <v>1</v>
      </c>
      <c r="B9" s="13">
        <v>0</v>
      </c>
      <c r="C9" s="13">
        <v>0</v>
      </c>
      <c r="D9" s="13">
        <v>139979.15</v>
      </c>
      <c r="E9" s="13">
        <v>0</v>
      </c>
      <c r="F9" s="14">
        <f>SUM(B9:E9)</f>
        <v>139979.15</v>
      </c>
      <c r="G9" s="14">
        <f>J9/12</f>
        <v>148333.33333333334</v>
      </c>
      <c r="H9" s="13">
        <v>703065.09</v>
      </c>
      <c r="I9" s="14">
        <f>G9*5</f>
        <v>741666.66666666674</v>
      </c>
      <c r="J9" s="13">
        <v>1780000</v>
      </c>
      <c r="K9" s="32">
        <f>+H9/J9</f>
        <v>0.3949803876404494</v>
      </c>
    </row>
    <row r="10" spans="1:11" x14ac:dyDescent="0.2">
      <c r="A10" s="11" t="s">
        <v>2</v>
      </c>
      <c r="B10" s="13">
        <v>0</v>
      </c>
      <c r="C10" s="13">
        <v>935.14</v>
      </c>
      <c r="D10" s="13">
        <v>5830.97</v>
      </c>
      <c r="E10" s="13">
        <v>0</v>
      </c>
      <c r="F10" s="14">
        <f t="shared" ref="F10:F20" si="0">SUM(B10:E10)</f>
        <v>6766.1100000000006</v>
      </c>
      <c r="G10" s="14">
        <f t="shared" ref="G10:G20" si="1">J10/12</f>
        <v>6083.333333333333</v>
      </c>
      <c r="H10" s="13">
        <v>33178.199999999997</v>
      </c>
      <c r="I10" s="14">
        <f t="shared" ref="I10:I20" si="2">G10*5</f>
        <v>30416.666666666664</v>
      </c>
      <c r="J10" s="13">
        <v>73000</v>
      </c>
      <c r="K10" s="32">
        <f t="shared" ref="K10:K21" si="3">+H10/J10</f>
        <v>0.45449589041095889</v>
      </c>
    </row>
    <row r="11" spans="1:11" x14ac:dyDescent="0.2">
      <c r="A11" s="11" t="s">
        <v>71</v>
      </c>
      <c r="B11" s="13">
        <v>0</v>
      </c>
      <c r="C11" s="13">
        <v>0</v>
      </c>
      <c r="D11" s="13">
        <v>0</v>
      </c>
      <c r="E11" s="13">
        <v>0</v>
      </c>
      <c r="F11" s="14">
        <f t="shared" si="0"/>
        <v>0</v>
      </c>
      <c r="G11" s="14">
        <f t="shared" si="1"/>
        <v>1250</v>
      </c>
      <c r="H11" s="13">
        <f t="shared" ref="H11" si="4">F11</f>
        <v>0</v>
      </c>
      <c r="I11" s="14">
        <f t="shared" si="2"/>
        <v>6250</v>
      </c>
      <c r="J11" s="13">
        <v>15000</v>
      </c>
      <c r="K11" s="32">
        <f t="shared" si="3"/>
        <v>0</v>
      </c>
    </row>
    <row r="12" spans="1:11" x14ac:dyDescent="0.2">
      <c r="A12" s="11" t="s">
        <v>3</v>
      </c>
      <c r="B12" s="13">
        <v>0</v>
      </c>
      <c r="C12" s="13">
        <v>0</v>
      </c>
      <c r="D12" s="13">
        <v>1569.28</v>
      </c>
      <c r="E12" s="13">
        <v>0</v>
      </c>
      <c r="F12" s="14">
        <f t="shared" si="0"/>
        <v>1569.28</v>
      </c>
      <c r="G12" s="14">
        <f t="shared" si="1"/>
        <v>3333.3333333333335</v>
      </c>
      <c r="H12" s="13">
        <v>16958.07</v>
      </c>
      <c r="I12" s="14">
        <f t="shared" si="2"/>
        <v>16666.666666666668</v>
      </c>
      <c r="J12" s="13">
        <v>40000</v>
      </c>
      <c r="K12" s="32">
        <f t="shared" si="3"/>
        <v>0.42395175000000002</v>
      </c>
    </row>
    <row r="13" spans="1:11" x14ac:dyDescent="0.2">
      <c r="A13" s="11" t="s">
        <v>4</v>
      </c>
      <c r="B13" s="13">
        <v>0</v>
      </c>
      <c r="C13" s="13">
        <v>0</v>
      </c>
      <c r="D13" s="13">
        <v>159.47999999999999</v>
      </c>
      <c r="E13" s="13">
        <v>0</v>
      </c>
      <c r="F13" s="14">
        <f t="shared" si="0"/>
        <v>159.47999999999999</v>
      </c>
      <c r="G13" s="14">
        <f t="shared" si="1"/>
        <v>8333.3333333333339</v>
      </c>
      <c r="H13" s="13">
        <v>81410.12</v>
      </c>
      <c r="I13" s="14">
        <f t="shared" si="2"/>
        <v>41666.666666666672</v>
      </c>
      <c r="J13" s="13">
        <v>100000</v>
      </c>
      <c r="K13" s="32">
        <f t="shared" si="3"/>
        <v>0.81410119999999997</v>
      </c>
    </row>
    <row r="14" spans="1:11" x14ac:dyDescent="0.2">
      <c r="A14" s="11" t="s">
        <v>5</v>
      </c>
      <c r="B14" s="13">
        <v>0</v>
      </c>
      <c r="C14" s="13">
        <v>149170.41</v>
      </c>
      <c r="D14" s="13">
        <v>0</v>
      </c>
      <c r="E14" s="13">
        <v>0</v>
      </c>
      <c r="F14" s="14">
        <f t="shared" si="0"/>
        <v>149170.41</v>
      </c>
      <c r="G14" s="14">
        <f t="shared" si="1"/>
        <v>121666.66666666667</v>
      </c>
      <c r="H14" s="13">
        <v>620381.41</v>
      </c>
      <c r="I14" s="14">
        <f t="shared" si="2"/>
        <v>608333.33333333337</v>
      </c>
      <c r="J14" s="13">
        <v>1460000</v>
      </c>
      <c r="K14" s="32">
        <f t="shared" si="3"/>
        <v>0.42491877397260275</v>
      </c>
    </row>
    <row r="15" spans="1:11" x14ac:dyDescent="0.2">
      <c r="A15" s="11" t="s">
        <v>6</v>
      </c>
      <c r="B15" s="13">
        <v>0</v>
      </c>
      <c r="C15" s="13">
        <v>698.8</v>
      </c>
      <c r="D15" s="13">
        <v>0</v>
      </c>
      <c r="E15" s="13">
        <v>0</v>
      </c>
      <c r="F15" s="14">
        <f t="shared" si="0"/>
        <v>698.8</v>
      </c>
      <c r="G15" s="14">
        <f t="shared" si="1"/>
        <v>916.66666666666663</v>
      </c>
      <c r="H15" s="13">
        <v>3252.38</v>
      </c>
      <c r="I15" s="14">
        <f t="shared" si="2"/>
        <v>4583.333333333333</v>
      </c>
      <c r="J15" s="13">
        <v>11000</v>
      </c>
      <c r="K15" s="32">
        <f t="shared" si="3"/>
        <v>0.2956709090909091</v>
      </c>
    </row>
    <row r="16" spans="1:11" x14ac:dyDescent="0.2">
      <c r="A16" s="11" t="s">
        <v>7</v>
      </c>
      <c r="B16" s="13">
        <v>0</v>
      </c>
      <c r="C16" s="13">
        <v>0</v>
      </c>
      <c r="D16" s="13">
        <v>0</v>
      </c>
      <c r="E16" s="13">
        <v>20887.82</v>
      </c>
      <c r="F16" s="14">
        <f t="shared" si="0"/>
        <v>20887.82</v>
      </c>
      <c r="G16" s="14">
        <f t="shared" si="1"/>
        <v>15833.333333333334</v>
      </c>
      <c r="H16" s="13">
        <v>119028.41</v>
      </c>
      <c r="I16" s="14">
        <f t="shared" si="2"/>
        <v>79166.666666666672</v>
      </c>
      <c r="J16" s="13">
        <v>190000</v>
      </c>
      <c r="K16" s="32">
        <f t="shared" si="3"/>
        <v>0.62646531578947373</v>
      </c>
    </row>
    <row r="17" spans="1:12" x14ac:dyDescent="0.2">
      <c r="A17" s="11" t="s">
        <v>8</v>
      </c>
      <c r="B17" s="13">
        <v>0</v>
      </c>
      <c r="C17" s="13">
        <v>0</v>
      </c>
      <c r="D17" s="13">
        <v>0</v>
      </c>
      <c r="E17" s="13">
        <v>169.64</v>
      </c>
      <c r="F17" s="14">
        <f t="shared" si="0"/>
        <v>169.64</v>
      </c>
      <c r="G17" s="14">
        <f t="shared" si="1"/>
        <v>625</v>
      </c>
      <c r="H17" s="13">
        <v>1565.65</v>
      </c>
      <c r="I17" s="14">
        <f t="shared" si="2"/>
        <v>3125</v>
      </c>
      <c r="J17" s="13">
        <v>7500</v>
      </c>
      <c r="K17" s="32">
        <f t="shared" si="3"/>
        <v>0.20875333333333335</v>
      </c>
    </row>
    <row r="18" spans="1:12" x14ac:dyDescent="0.2">
      <c r="A18" s="11" t="s">
        <v>9</v>
      </c>
      <c r="B18" s="13">
        <v>0</v>
      </c>
      <c r="C18" s="13">
        <v>5493.44</v>
      </c>
      <c r="D18" s="13">
        <v>0</v>
      </c>
      <c r="E18" s="13">
        <v>0</v>
      </c>
      <c r="F18" s="14">
        <f t="shared" si="0"/>
        <v>5493.44</v>
      </c>
      <c r="G18" s="14">
        <f t="shared" si="1"/>
        <v>4166.666666666667</v>
      </c>
      <c r="H18" s="13">
        <v>17788.8</v>
      </c>
      <c r="I18" s="14">
        <f t="shared" si="2"/>
        <v>20833.333333333336</v>
      </c>
      <c r="J18" s="13">
        <v>50000</v>
      </c>
      <c r="K18" s="32">
        <f t="shared" si="3"/>
        <v>0.35577599999999998</v>
      </c>
    </row>
    <row r="19" spans="1:12" x14ac:dyDescent="0.2">
      <c r="A19" s="11" t="s">
        <v>10</v>
      </c>
      <c r="B19" s="13">
        <v>0</v>
      </c>
      <c r="C19" s="13">
        <v>49907.07</v>
      </c>
      <c r="D19" s="13">
        <v>0</v>
      </c>
      <c r="E19" s="13">
        <v>0</v>
      </c>
      <c r="F19" s="14">
        <f t="shared" si="0"/>
        <v>49907.07</v>
      </c>
      <c r="G19" s="14">
        <f t="shared" si="1"/>
        <v>48666.666666666664</v>
      </c>
      <c r="H19" s="13">
        <v>247589.21</v>
      </c>
      <c r="I19" s="14">
        <f t="shared" si="2"/>
        <v>243333.33333333331</v>
      </c>
      <c r="J19" s="13">
        <v>584000</v>
      </c>
      <c r="K19" s="32">
        <f t="shared" si="3"/>
        <v>0.42395412671232874</v>
      </c>
    </row>
    <row r="20" spans="1:12" x14ac:dyDescent="0.2">
      <c r="A20" s="11" t="s">
        <v>11</v>
      </c>
      <c r="B20" s="13">
        <v>0</v>
      </c>
      <c r="C20" s="13">
        <v>0</v>
      </c>
      <c r="D20" s="13">
        <v>0</v>
      </c>
      <c r="E20" s="13">
        <v>10239.870000000001</v>
      </c>
      <c r="F20" s="14">
        <f t="shared" si="0"/>
        <v>10239.870000000001</v>
      </c>
      <c r="G20" s="14">
        <f t="shared" si="1"/>
        <v>4583.333333333333</v>
      </c>
      <c r="H20" s="13">
        <v>49452.22</v>
      </c>
      <c r="I20" s="14">
        <f t="shared" si="2"/>
        <v>22916.666666666664</v>
      </c>
      <c r="J20" s="13">
        <v>55000</v>
      </c>
      <c r="K20" s="33">
        <f t="shared" si="3"/>
        <v>0.89913127272727278</v>
      </c>
    </row>
    <row r="21" spans="1:12" x14ac:dyDescent="0.2">
      <c r="A21" s="11" t="s">
        <v>12</v>
      </c>
      <c r="B21" s="35">
        <f t="shared" ref="B21:J21" si="5">SUM(B9:B20)</f>
        <v>0</v>
      </c>
      <c r="C21" s="35">
        <f t="shared" si="5"/>
        <v>206204.86000000002</v>
      </c>
      <c r="D21" s="36">
        <f t="shared" si="5"/>
        <v>147538.88</v>
      </c>
      <c r="E21" s="36">
        <f t="shared" si="5"/>
        <v>31297.33</v>
      </c>
      <c r="F21" s="35">
        <f t="shared" si="5"/>
        <v>385041.07000000007</v>
      </c>
      <c r="G21" s="35">
        <f t="shared" si="5"/>
        <v>363791.66666666674</v>
      </c>
      <c r="H21" s="36">
        <f t="shared" si="5"/>
        <v>1893669.5599999996</v>
      </c>
      <c r="I21" s="35">
        <f>SUM(I9:I20)</f>
        <v>1818958.3333333333</v>
      </c>
      <c r="J21" s="36">
        <f t="shared" si="5"/>
        <v>4365500</v>
      </c>
      <c r="K21" s="40">
        <f t="shared" si="3"/>
        <v>0.43378068033444039</v>
      </c>
      <c r="L21" s="2"/>
    </row>
    <row r="22" spans="1:12" x14ac:dyDescent="0.2">
      <c r="A22" s="11"/>
    </row>
    <row r="23" spans="1:12" x14ac:dyDescent="0.2">
      <c r="A23" s="11" t="s">
        <v>13</v>
      </c>
      <c r="B23" s="1" t="s">
        <v>57</v>
      </c>
      <c r="C23" t="s">
        <v>58</v>
      </c>
      <c r="D23" s="8" t="s">
        <v>59</v>
      </c>
      <c r="E23" s="41" t="s">
        <v>87</v>
      </c>
      <c r="F23" s="1" t="s">
        <v>60</v>
      </c>
      <c r="G23" s="1" t="s">
        <v>61</v>
      </c>
      <c r="H23" s="8" t="s">
        <v>62</v>
      </c>
      <c r="I23" s="1" t="s">
        <v>62</v>
      </c>
      <c r="J23" s="8" t="s">
        <v>63</v>
      </c>
      <c r="K23" s="16">
        <f>+K6</f>
        <v>0.42</v>
      </c>
    </row>
    <row r="24" spans="1:12" x14ac:dyDescent="0.2">
      <c r="A24" s="11"/>
      <c r="B24" s="1"/>
      <c r="D24" s="8"/>
      <c r="E24" s="41" t="s">
        <v>88</v>
      </c>
      <c r="F24" s="1" t="s">
        <v>68</v>
      </c>
      <c r="G24" s="1" t="s">
        <v>65</v>
      </c>
      <c r="H24" s="8" t="s">
        <v>68</v>
      </c>
      <c r="I24" s="1" t="s">
        <v>67</v>
      </c>
      <c r="J24" s="8" t="s">
        <v>67</v>
      </c>
      <c r="K24" s="17" t="s">
        <v>65</v>
      </c>
    </row>
    <row r="25" spans="1:12" x14ac:dyDescent="0.2">
      <c r="A25" s="11"/>
      <c r="B25" s="1"/>
      <c r="D25" s="8"/>
      <c r="E25" s="8"/>
      <c r="F25" s="1"/>
      <c r="G25" s="1"/>
      <c r="H25" s="8"/>
      <c r="I25" s="1"/>
      <c r="J25" s="8"/>
      <c r="K25" s="17" t="s">
        <v>75</v>
      </c>
    </row>
    <row r="26" spans="1:12" x14ac:dyDescent="0.2">
      <c r="A26" s="11" t="s">
        <v>14</v>
      </c>
      <c r="B26" s="13">
        <v>22967.68</v>
      </c>
      <c r="C26" s="13">
        <v>31623.86</v>
      </c>
      <c r="D26" s="13">
        <v>12253.78</v>
      </c>
      <c r="E26" s="13">
        <v>1516.64</v>
      </c>
      <c r="F26" s="14">
        <f t="shared" ref="F26:F38" si="6">SUM(B26:E26)</f>
        <v>68361.960000000006</v>
      </c>
      <c r="G26" s="14">
        <f t="shared" ref="G26:G38" si="7">J26/12</f>
        <v>84166.666666666672</v>
      </c>
      <c r="H26" s="13">
        <v>539828.43000000005</v>
      </c>
      <c r="I26" s="14">
        <f t="shared" ref="I26:I38" si="8">G26*5</f>
        <v>420833.33333333337</v>
      </c>
      <c r="J26" s="13">
        <v>1010000</v>
      </c>
      <c r="K26" s="34">
        <f t="shared" ref="K26:K38" si="9">+H26/J26</f>
        <v>0.53448359405940604</v>
      </c>
    </row>
    <row r="27" spans="1:12" x14ac:dyDescent="0.2">
      <c r="A27" s="11" t="s">
        <v>15</v>
      </c>
      <c r="B27" s="13">
        <v>1843.41</v>
      </c>
      <c r="C27" s="13">
        <v>2917.83</v>
      </c>
      <c r="D27" s="13">
        <v>987.73</v>
      </c>
      <c r="E27" s="13">
        <v>115.78</v>
      </c>
      <c r="F27" s="14">
        <f t="shared" si="6"/>
        <v>5864.7499999999991</v>
      </c>
      <c r="G27" s="14">
        <f t="shared" si="7"/>
        <v>6666.666666666667</v>
      </c>
      <c r="H27" s="13">
        <v>44814.84</v>
      </c>
      <c r="I27" s="14">
        <f t="shared" si="8"/>
        <v>33333.333333333336</v>
      </c>
      <c r="J27" s="13">
        <v>80000</v>
      </c>
      <c r="K27" s="34">
        <f t="shared" si="9"/>
        <v>0.5601855</v>
      </c>
    </row>
    <row r="28" spans="1:12" x14ac:dyDescent="0.2">
      <c r="A28" s="11" t="s">
        <v>16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625</v>
      </c>
      <c r="H28" s="13">
        <f t="shared" ref="H28:H37" si="10">F28</f>
        <v>0</v>
      </c>
      <c r="I28" s="14">
        <f t="shared" si="8"/>
        <v>3125</v>
      </c>
      <c r="J28" s="13">
        <v>7500</v>
      </c>
      <c r="K28" s="34">
        <f t="shared" si="9"/>
        <v>0</v>
      </c>
    </row>
    <row r="29" spans="1:12" x14ac:dyDescent="0.2">
      <c r="A29" s="11" t="s">
        <v>17</v>
      </c>
      <c r="B29" s="13">
        <v>1392.32</v>
      </c>
      <c r="C29" s="13">
        <v>681.3</v>
      </c>
      <c r="D29" s="13">
        <v>758.48</v>
      </c>
      <c r="E29" s="13">
        <v>73.58</v>
      </c>
      <c r="F29" s="14">
        <f t="shared" si="6"/>
        <v>2905.68</v>
      </c>
      <c r="G29" s="14">
        <f t="shared" si="7"/>
        <v>3600</v>
      </c>
      <c r="H29" s="13">
        <v>18645.2</v>
      </c>
      <c r="I29" s="14">
        <f t="shared" si="8"/>
        <v>18000</v>
      </c>
      <c r="J29" s="13">
        <v>43200</v>
      </c>
      <c r="K29" s="34">
        <f t="shared" si="9"/>
        <v>0.43160185185185185</v>
      </c>
    </row>
    <row r="30" spans="1:12" x14ac:dyDescent="0.2">
      <c r="A30" s="11" t="s">
        <v>18</v>
      </c>
      <c r="B30" s="13">
        <v>0</v>
      </c>
      <c r="C30" s="13">
        <v>0</v>
      </c>
      <c r="D30" s="13">
        <v>0</v>
      </c>
      <c r="E30" s="13">
        <v>0</v>
      </c>
      <c r="F30" s="14">
        <f t="shared" si="6"/>
        <v>0</v>
      </c>
      <c r="G30" s="14">
        <f t="shared" si="7"/>
        <v>8750</v>
      </c>
      <c r="H30" s="13">
        <v>105312.99</v>
      </c>
      <c r="I30" s="14">
        <f t="shared" si="8"/>
        <v>43750</v>
      </c>
      <c r="J30" s="13">
        <v>105000</v>
      </c>
      <c r="K30" s="34">
        <f t="shared" si="9"/>
        <v>1.0029808571428571</v>
      </c>
    </row>
    <row r="31" spans="1:12" x14ac:dyDescent="0.2">
      <c r="A31" s="11" t="s">
        <v>19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833.33333333333337</v>
      </c>
      <c r="H31" s="13">
        <f t="shared" si="10"/>
        <v>0</v>
      </c>
      <c r="I31" s="14">
        <f t="shared" si="8"/>
        <v>4166.666666666667</v>
      </c>
      <c r="J31" s="13">
        <f>10000</f>
        <v>10000</v>
      </c>
      <c r="K31" s="34">
        <f t="shared" si="9"/>
        <v>0</v>
      </c>
    </row>
    <row r="32" spans="1:12" x14ac:dyDescent="0.2">
      <c r="A32" s="11" t="s">
        <v>20</v>
      </c>
      <c r="B32" s="13">
        <v>0</v>
      </c>
      <c r="C32" s="13">
        <v>0</v>
      </c>
      <c r="D32" s="13">
        <v>0</v>
      </c>
      <c r="E32" s="13">
        <v>0</v>
      </c>
      <c r="F32" s="14">
        <f t="shared" si="6"/>
        <v>0</v>
      </c>
      <c r="G32" s="14">
        <f t="shared" si="7"/>
        <v>2083.3333333333335</v>
      </c>
      <c r="H32" s="13">
        <v>14175</v>
      </c>
      <c r="I32" s="14">
        <f t="shared" si="8"/>
        <v>10416.666666666668</v>
      </c>
      <c r="J32" s="13">
        <v>25000</v>
      </c>
      <c r="K32" s="34">
        <f t="shared" si="9"/>
        <v>0.56699999999999995</v>
      </c>
    </row>
    <row r="33" spans="1:20" x14ac:dyDescent="0.2">
      <c r="A33" s="11" t="s">
        <v>21</v>
      </c>
      <c r="B33" s="13">
        <v>0</v>
      </c>
      <c r="C33" s="13">
        <v>0</v>
      </c>
      <c r="D33" s="13">
        <v>0</v>
      </c>
      <c r="E33" s="13">
        <v>0</v>
      </c>
      <c r="F33" s="14">
        <f t="shared" si="6"/>
        <v>0</v>
      </c>
      <c r="G33" s="14">
        <f t="shared" si="7"/>
        <v>1750</v>
      </c>
      <c r="H33" s="13">
        <v>3467.44</v>
      </c>
      <c r="I33" s="14">
        <f t="shared" si="8"/>
        <v>8750</v>
      </c>
      <c r="J33" s="13">
        <v>21000</v>
      </c>
      <c r="K33" s="34">
        <f t="shared" si="9"/>
        <v>0.16511619047619047</v>
      </c>
    </row>
    <row r="34" spans="1:20" x14ac:dyDescent="0.2">
      <c r="A34" s="11" t="s">
        <v>22</v>
      </c>
      <c r="B34" s="13">
        <v>0</v>
      </c>
      <c r="C34" s="13">
        <v>880.82</v>
      </c>
      <c r="D34" s="13">
        <v>779.68</v>
      </c>
      <c r="E34" s="13">
        <v>0</v>
      </c>
      <c r="F34" s="14">
        <f t="shared" si="6"/>
        <v>1660.5</v>
      </c>
      <c r="G34" s="14">
        <f t="shared" si="7"/>
        <v>2666.6666666666665</v>
      </c>
      <c r="H34" s="13">
        <v>7560.91</v>
      </c>
      <c r="I34" s="14">
        <f t="shared" si="8"/>
        <v>13333.333333333332</v>
      </c>
      <c r="J34" s="13">
        <v>32000</v>
      </c>
      <c r="K34" s="34">
        <f t="shared" si="9"/>
        <v>0.23627843749999999</v>
      </c>
    </row>
    <row r="35" spans="1:20" x14ac:dyDescent="0.2">
      <c r="A35" s="11" t="s">
        <v>23</v>
      </c>
      <c r="B35" s="13">
        <v>178.12</v>
      </c>
      <c r="C35" s="13">
        <v>4059.56</v>
      </c>
      <c r="D35" s="13">
        <v>4059.58</v>
      </c>
      <c r="E35" s="13">
        <v>0</v>
      </c>
      <c r="F35" s="14">
        <f t="shared" si="6"/>
        <v>8297.26</v>
      </c>
      <c r="G35" s="14">
        <f t="shared" si="7"/>
        <v>10833.333333333334</v>
      </c>
      <c r="H35" s="13">
        <v>44347</v>
      </c>
      <c r="I35" s="14">
        <f t="shared" si="8"/>
        <v>54166.666666666672</v>
      </c>
      <c r="J35" s="13">
        <v>130000</v>
      </c>
      <c r="K35" s="34">
        <f t="shared" si="9"/>
        <v>0.34113076923076924</v>
      </c>
    </row>
    <row r="36" spans="1:20" x14ac:dyDescent="0.2">
      <c r="A36" s="11" t="s">
        <v>24</v>
      </c>
      <c r="B36" s="13">
        <v>0</v>
      </c>
      <c r="C36" s="13">
        <v>0</v>
      </c>
      <c r="D36" s="13">
        <v>0</v>
      </c>
      <c r="E36" s="13">
        <v>0</v>
      </c>
      <c r="F36" s="14">
        <f t="shared" si="6"/>
        <v>0</v>
      </c>
      <c r="G36" s="14">
        <f t="shared" si="7"/>
        <v>1666.6666666666667</v>
      </c>
      <c r="H36" s="13">
        <v>428.19</v>
      </c>
      <c r="I36" s="14">
        <f t="shared" si="8"/>
        <v>8333.3333333333339</v>
      </c>
      <c r="J36" s="13">
        <v>20000</v>
      </c>
      <c r="K36" s="34">
        <f t="shared" si="9"/>
        <v>2.1409500000000001E-2</v>
      </c>
    </row>
    <row r="37" spans="1:20" x14ac:dyDescent="0.2">
      <c r="A37" s="11" t="s">
        <v>25</v>
      </c>
      <c r="B37" s="13">
        <v>0</v>
      </c>
      <c r="C37" s="13">
        <v>0</v>
      </c>
      <c r="D37" s="13">
        <v>0</v>
      </c>
      <c r="E37" s="13">
        <v>0</v>
      </c>
      <c r="F37" s="14">
        <f t="shared" si="6"/>
        <v>0</v>
      </c>
      <c r="G37" s="14">
        <f t="shared" si="7"/>
        <v>250</v>
      </c>
      <c r="H37" s="13">
        <f t="shared" si="10"/>
        <v>0</v>
      </c>
      <c r="I37" s="14">
        <f t="shared" si="8"/>
        <v>1250</v>
      </c>
      <c r="J37" s="13">
        <f>1500+1500</f>
        <v>3000</v>
      </c>
      <c r="K37" s="34">
        <f t="shared" si="9"/>
        <v>0</v>
      </c>
    </row>
    <row r="38" spans="1:20" x14ac:dyDescent="0.2">
      <c r="A38" s="11" t="s">
        <v>26</v>
      </c>
      <c r="B38" s="13">
        <v>0</v>
      </c>
      <c r="C38" s="13">
        <v>0</v>
      </c>
      <c r="D38" s="13">
        <v>0</v>
      </c>
      <c r="E38" s="13">
        <v>42656</v>
      </c>
      <c r="F38" s="14">
        <f t="shared" si="6"/>
        <v>42656</v>
      </c>
      <c r="G38" s="14">
        <f t="shared" si="7"/>
        <v>30833.333333333332</v>
      </c>
      <c r="H38" s="13">
        <v>109819</v>
      </c>
      <c r="I38" s="14">
        <f t="shared" si="8"/>
        <v>154166.66666666666</v>
      </c>
      <c r="J38" s="13">
        <v>370000</v>
      </c>
      <c r="K38" s="34">
        <f t="shared" si="9"/>
        <v>0.29680810810810809</v>
      </c>
    </row>
    <row r="39" spans="1:20" x14ac:dyDescent="0.2">
      <c r="A39" s="11"/>
      <c r="B39" s="14"/>
      <c r="C39" s="13"/>
      <c r="D39" s="13"/>
      <c r="E39" s="13"/>
      <c r="F39" s="14"/>
      <c r="G39" s="14"/>
      <c r="H39" s="13"/>
      <c r="I39" s="14"/>
      <c r="J39" s="13"/>
    </row>
    <row r="40" spans="1:20" x14ac:dyDescent="0.2">
      <c r="A40" s="11"/>
      <c r="B40" s="2"/>
      <c r="C40" s="6"/>
      <c r="D40" s="6"/>
      <c r="E40" s="6"/>
      <c r="F40" s="2"/>
      <c r="G40" s="2"/>
      <c r="H40" s="6"/>
      <c r="I40" s="2"/>
      <c r="J40" s="6"/>
    </row>
    <row r="41" spans="1:20" x14ac:dyDescent="0.2">
      <c r="A41" s="11"/>
      <c r="B41" s="1"/>
      <c r="C41" s="7"/>
      <c r="D41" s="8"/>
      <c r="E41" s="8"/>
      <c r="F41" s="1"/>
      <c r="G41" s="1"/>
      <c r="H41" s="8"/>
      <c r="I41" s="1"/>
      <c r="J41" s="8"/>
      <c r="L41" s="1"/>
      <c r="M41" s="1"/>
      <c r="O41" s="1"/>
      <c r="P41" s="1"/>
      <c r="Q41" s="1"/>
      <c r="R41" s="1"/>
      <c r="S41" s="1"/>
      <c r="T41" s="1"/>
    </row>
    <row r="42" spans="1:20" x14ac:dyDescent="0.2">
      <c r="A42" s="11"/>
      <c r="B42" s="2"/>
      <c r="C42" s="6"/>
      <c r="D42" s="6"/>
      <c r="E42" s="6"/>
      <c r="F42" s="2"/>
      <c r="G42" s="2"/>
      <c r="H42" s="6"/>
      <c r="I42" s="2"/>
      <c r="J42" s="6"/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41" t="s">
        <v>87</v>
      </c>
      <c r="F43" s="1" t="s">
        <v>60</v>
      </c>
      <c r="G43" s="1" t="s">
        <v>61</v>
      </c>
      <c r="H43" s="8" t="s">
        <v>62</v>
      </c>
      <c r="I43" s="1" t="s">
        <v>62</v>
      </c>
      <c r="J43" s="8" t="s">
        <v>63</v>
      </c>
      <c r="K43" s="16">
        <f>+K6</f>
        <v>0.42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/>
      <c r="B44" s="1"/>
      <c r="C44" s="7"/>
      <c r="D44" s="8"/>
      <c r="E44" s="41" t="s">
        <v>88</v>
      </c>
      <c r="F44" s="1" t="s">
        <v>68</v>
      </c>
      <c r="G44" s="1" t="s">
        <v>65</v>
      </c>
      <c r="H44" s="8" t="s">
        <v>68</v>
      </c>
      <c r="I44" s="1" t="s">
        <v>67</v>
      </c>
      <c r="J44" s="8" t="s">
        <v>67</v>
      </c>
      <c r="K44" s="17" t="s">
        <v>65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/>
      <c r="B45" s="1"/>
      <c r="C45" s="7"/>
      <c r="D45" s="8"/>
      <c r="E45" s="8"/>
      <c r="F45" s="1"/>
      <c r="G45" s="1"/>
      <c r="H45" s="8"/>
      <c r="I45" s="1"/>
      <c r="J45" s="8"/>
      <c r="K45" s="17" t="s">
        <v>75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27</v>
      </c>
      <c r="B46" s="6">
        <v>5658.51</v>
      </c>
      <c r="C46" s="6">
        <v>7687.86</v>
      </c>
      <c r="D46" s="6">
        <v>4061.24</v>
      </c>
      <c r="E46" s="6">
        <v>236.4</v>
      </c>
      <c r="F46" s="14">
        <f t="shared" ref="F46:F72" si="11">SUM(B46:E46)</f>
        <v>17644.010000000002</v>
      </c>
      <c r="G46" s="2">
        <f t="shared" ref="G46:G48" si="12">J46/12</f>
        <v>16500</v>
      </c>
      <c r="H46" s="6">
        <v>85918.6</v>
      </c>
      <c r="I46" s="14">
        <f t="shared" ref="I46:I72" si="13">G46*5</f>
        <v>82500</v>
      </c>
      <c r="J46" s="6">
        <v>198000</v>
      </c>
      <c r="K46" s="34">
        <f t="shared" ref="K46:K73" si="14">+H46/J46</f>
        <v>0.43393232323232328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28</v>
      </c>
      <c r="B47" s="13">
        <v>991</v>
      </c>
      <c r="C47" s="13">
        <v>991</v>
      </c>
      <c r="D47" s="13">
        <v>991</v>
      </c>
      <c r="E47" s="13">
        <v>0</v>
      </c>
      <c r="F47" s="14">
        <f t="shared" si="11"/>
        <v>2973</v>
      </c>
      <c r="G47" s="14">
        <f t="shared" si="12"/>
        <v>25520.833333333332</v>
      </c>
      <c r="H47" s="13">
        <v>293204</v>
      </c>
      <c r="I47" s="14">
        <f t="shared" si="13"/>
        <v>127604.16666666666</v>
      </c>
      <c r="J47" s="13">
        <v>306250</v>
      </c>
      <c r="K47" s="34">
        <f t="shared" si="14"/>
        <v>0.95740081632653062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29</v>
      </c>
      <c r="B48" s="13">
        <v>0</v>
      </c>
      <c r="C48" s="13">
        <v>134.99</v>
      </c>
      <c r="D48" s="13">
        <v>135</v>
      </c>
      <c r="E48" s="13">
        <v>0</v>
      </c>
      <c r="F48" s="14">
        <f t="shared" si="11"/>
        <v>269.99</v>
      </c>
      <c r="G48" s="14">
        <f t="shared" si="12"/>
        <v>416.66666666666669</v>
      </c>
      <c r="H48" s="13">
        <v>1236.0899999999999</v>
      </c>
      <c r="I48" s="14">
        <f t="shared" si="13"/>
        <v>2083.3333333333335</v>
      </c>
      <c r="J48" s="13">
        <f>2500+2500</f>
        <v>5000</v>
      </c>
      <c r="K48" s="34">
        <f t="shared" si="14"/>
        <v>0.24721799999999999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30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>J49/12</f>
        <v>1333.3333333333333</v>
      </c>
      <c r="H49" s="13">
        <v>3693.09</v>
      </c>
      <c r="I49" s="14">
        <f t="shared" si="13"/>
        <v>6666.6666666666661</v>
      </c>
      <c r="J49" s="13">
        <f>8000+8000</f>
        <v>16000</v>
      </c>
      <c r="K49" s="34">
        <f t="shared" si="14"/>
        <v>0.23081812500000001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32</v>
      </c>
      <c r="B50" s="13">
        <v>0</v>
      </c>
      <c r="C50" s="13">
        <v>0</v>
      </c>
      <c r="D50" s="13">
        <v>0</v>
      </c>
      <c r="E50" s="13">
        <v>0</v>
      </c>
      <c r="F50" s="14">
        <f t="shared" si="11"/>
        <v>0</v>
      </c>
      <c r="G50" s="14">
        <f t="shared" ref="G50:G72" si="15">J50/12</f>
        <v>6500</v>
      </c>
      <c r="H50" s="13">
        <v>0</v>
      </c>
      <c r="I50" s="14">
        <f t="shared" si="13"/>
        <v>32500</v>
      </c>
      <c r="J50" s="13">
        <v>78000</v>
      </c>
      <c r="K50" s="34">
        <f t="shared" si="14"/>
        <v>0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33</v>
      </c>
      <c r="B51" s="13">
        <v>0</v>
      </c>
      <c r="C51" s="13">
        <v>0</v>
      </c>
      <c r="D51" s="13">
        <v>0</v>
      </c>
      <c r="E51" s="13">
        <v>0</v>
      </c>
      <c r="F51" s="14">
        <f t="shared" si="11"/>
        <v>0</v>
      </c>
      <c r="G51" s="14">
        <f t="shared" si="15"/>
        <v>750</v>
      </c>
      <c r="H51" s="13">
        <v>1145.9100000000001</v>
      </c>
      <c r="I51" s="14">
        <f t="shared" si="13"/>
        <v>3750</v>
      </c>
      <c r="J51" s="13">
        <v>9000</v>
      </c>
      <c r="K51" s="34">
        <f t="shared" si="14"/>
        <v>0.12732333333333334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34</v>
      </c>
      <c r="B52" s="13">
        <v>0</v>
      </c>
      <c r="C52" s="13">
        <v>263.7</v>
      </c>
      <c r="D52" s="13">
        <v>248.99</v>
      </c>
      <c r="E52" s="13">
        <v>0</v>
      </c>
      <c r="F52" s="14">
        <f t="shared" si="11"/>
        <v>512.69000000000005</v>
      </c>
      <c r="G52" s="14">
        <f t="shared" si="15"/>
        <v>1250</v>
      </c>
      <c r="H52" s="13">
        <v>6470.16</v>
      </c>
      <c r="I52" s="14">
        <f t="shared" si="13"/>
        <v>6250</v>
      </c>
      <c r="J52" s="13">
        <v>15000</v>
      </c>
      <c r="K52" s="34">
        <f t="shared" si="14"/>
        <v>0.43134400000000001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35</v>
      </c>
      <c r="B53" s="13">
        <v>0</v>
      </c>
      <c r="C53" s="13">
        <v>930.44</v>
      </c>
      <c r="D53" s="13">
        <v>825.48</v>
      </c>
      <c r="E53" s="13">
        <v>0</v>
      </c>
      <c r="F53" s="14">
        <f t="shared" si="11"/>
        <v>1755.92</v>
      </c>
      <c r="G53" s="14">
        <f t="shared" si="15"/>
        <v>13750</v>
      </c>
      <c r="H53" s="13">
        <v>36880.04</v>
      </c>
      <c r="I53" s="14">
        <f t="shared" si="13"/>
        <v>68750</v>
      </c>
      <c r="J53" s="13">
        <v>165000</v>
      </c>
      <c r="K53" s="34">
        <f t="shared" si="14"/>
        <v>0.22351539393939396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36</v>
      </c>
      <c r="B54" s="13">
        <v>0</v>
      </c>
      <c r="C54" s="13">
        <v>108224.39</v>
      </c>
      <c r="D54" s="13">
        <v>0</v>
      </c>
      <c r="E54" s="13">
        <v>0</v>
      </c>
      <c r="F54" s="14">
        <f t="shared" si="11"/>
        <v>108224.39</v>
      </c>
      <c r="G54" s="14">
        <f t="shared" si="15"/>
        <v>91666.666666666672</v>
      </c>
      <c r="H54" s="13">
        <v>455063.33</v>
      </c>
      <c r="I54" s="14">
        <f t="shared" si="13"/>
        <v>458333.33333333337</v>
      </c>
      <c r="J54" s="13">
        <v>1100000</v>
      </c>
      <c r="K54" s="34">
        <f t="shared" si="14"/>
        <v>0.41369393636363638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37</v>
      </c>
      <c r="B55" s="13">
        <v>0</v>
      </c>
      <c r="C55" s="13">
        <v>0</v>
      </c>
      <c r="D55" s="13">
        <v>0</v>
      </c>
      <c r="E55" s="13">
        <v>0</v>
      </c>
      <c r="F55" s="14">
        <f t="shared" si="11"/>
        <v>0</v>
      </c>
      <c r="G55" s="14">
        <f t="shared" si="15"/>
        <v>875</v>
      </c>
      <c r="H55" s="13">
        <v>1400.19</v>
      </c>
      <c r="I55" s="14">
        <f t="shared" si="13"/>
        <v>4375</v>
      </c>
      <c r="J55" s="13">
        <v>10500</v>
      </c>
      <c r="K55" s="34">
        <f t="shared" si="14"/>
        <v>0.13335142857142857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38</v>
      </c>
      <c r="B56" s="13">
        <v>0</v>
      </c>
      <c r="C56" s="13">
        <v>0</v>
      </c>
      <c r="D56" s="13">
        <v>0</v>
      </c>
      <c r="E56" s="13">
        <v>6279</v>
      </c>
      <c r="F56" s="14">
        <f t="shared" si="11"/>
        <v>6279</v>
      </c>
      <c r="G56" s="14">
        <f t="shared" si="15"/>
        <v>3333.3333333333335</v>
      </c>
      <c r="H56" s="13">
        <v>31918.25</v>
      </c>
      <c r="I56" s="14">
        <f t="shared" si="13"/>
        <v>16666.666666666668</v>
      </c>
      <c r="J56" s="13">
        <v>40000</v>
      </c>
      <c r="K56" s="34">
        <f t="shared" si="14"/>
        <v>0.79795625000000003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39</v>
      </c>
      <c r="B57" s="13">
        <v>0</v>
      </c>
      <c r="C57" s="13">
        <v>0</v>
      </c>
      <c r="D57" s="13">
        <v>0</v>
      </c>
      <c r="E57" s="13">
        <v>847.17</v>
      </c>
      <c r="F57" s="14">
        <f t="shared" si="11"/>
        <v>847.17</v>
      </c>
      <c r="G57" s="14">
        <f t="shared" si="15"/>
        <v>625</v>
      </c>
      <c r="H57" s="13">
        <v>1891.09</v>
      </c>
      <c r="I57" s="14">
        <f t="shared" si="13"/>
        <v>3125</v>
      </c>
      <c r="J57" s="13">
        <v>7500</v>
      </c>
      <c r="K57" s="34">
        <f t="shared" si="14"/>
        <v>0.25214533333333333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40</v>
      </c>
      <c r="B58" s="13">
        <v>0</v>
      </c>
      <c r="C58" s="13">
        <v>0</v>
      </c>
      <c r="D58" s="13">
        <v>0</v>
      </c>
      <c r="E58" s="13">
        <v>0</v>
      </c>
      <c r="F58" s="14">
        <f t="shared" si="11"/>
        <v>0</v>
      </c>
      <c r="G58" s="14">
        <f t="shared" si="15"/>
        <v>875</v>
      </c>
      <c r="H58" s="13">
        <v>2040.99</v>
      </c>
      <c r="I58" s="14">
        <f t="shared" si="13"/>
        <v>4375</v>
      </c>
      <c r="J58" s="13">
        <v>10500</v>
      </c>
      <c r="K58" s="34">
        <f t="shared" si="14"/>
        <v>0.19438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41</v>
      </c>
      <c r="B59" s="13">
        <v>909.17</v>
      </c>
      <c r="C59" s="13">
        <v>745.66</v>
      </c>
      <c r="D59" s="13">
        <v>0</v>
      </c>
      <c r="E59" s="13">
        <v>0</v>
      </c>
      <c r="F59" s="14">
        <f t="shared" si="11"/>
        <v>1654.83</v>
      </c>
      <c r="G59" s="14">
        <f t="shared" si="15"/>
        <v>2500</v>
      </c>
      <c r="H59" s="13">
        <v>23545.200000000001</v>
      </c>
      <c r="I59" s="14">
        <f t="shared" si="13"/>
        <v>12500</v>
      </c>
      <c r="J59" s="13">
        <v>30000</v>
      </c>
      <c r="K59" s="34">
        <f t="shared" si="14"/>
        <v>0.78483999999999998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42</v>
      </c>
      <c r="B60" s="13">
        <v>0</v>
      </c>
      <c r="C60" s="13">
        <v>0</v>
      </c>
      <c r="D60" s="13">
        <v>0</v>
      </c>
      <c r="E60" s="13">
        <v>0</v>
      </c>
      <c r="F60" s="14">
        <f t="shared" si="11"/>
        <v>0</v>
      </c>
      <c r="G60" s="14">
        <f t="shared" si="15"/>
        <v>13333.333333333334</v>
      </c>
      <c r="H60" s="13">
        <v>34673.47</v>
      </c>
      <c r="I60" s="14">
        <f t="shared" si="13"/>
        <v>66666.666666666672</v>
      </c>
      <c r="J60" s="13">
        <v>160000</v>
      </c>
      <c r="K60" s="34">
        <f t="shared" si="14"/>
        <v>0.21670918750000001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43</v>
      </c>
      <c r="B61" s="13">
        <v>0</v>
      </c>
      <c r="C61" s="13">
        <v>0</v>
      </c>
      <c r="D61" s="13">
        <v>0</v>
      </c>
      <c r="E61" s="13">
        <v>3767.47</v>
      </c>
      <c r="F61" s="14">
        <f t="shared" si="11"/>
        <v>3767.47</v>
      </c>
      <c r="G61" s="14">
        <f t="shared" si="15"/>
        <v>3333.3333333333335</v>
      </c>
      <c r="H61" s="13">
        <v>21369.74</v>
      </c>
      <c r="I61" s="14">
        <f t="shared" si="13"/>
        <v>16666.666666666668</v>
      </c>
      <c r="J61" s="13">
        <v>40000</v>
      </c>
      <c r="K61" s="34">
        <f t="shared" si="14"/>
        <v>0.53424350000000009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44</v>
      </c>
      <c r="B62" s="13">
        <v>0</v>
      </c>
      <c r="C62" s="13">
        <v>0</v>
      </c>
      <c r="D62" s="13">
        <v>0</v>
      </c>
      <c r="E62" s="13">
        <v>0</v>
      </c>
      <c r="F62" s="14">
        <f t="shared" si="11"/>
        <v>0</v>
      </c>
      <c r="G62" s="14">
        <f t="shared" si="15"/>
        <v>1583.3333333333333</v>
      </c>
      <c r="H62" s="13">
        <v>22802</v>
      </c>
      <c r="I62" s="14">
        <f t="shared" si="13"/>
        <v>7916.6666666666661</v>
      </c>
      <c r="J62" s="13">
        <v>19000</v>
      </c>
      <c r="K62" s="34">
        <f t="shared" si="14"/>
        <v>1.2001052631578948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45</v>
      </c>
      <c r="B63" s="13">
        <v>0</v>
      </c>
      <c r="C63" s="13">
        <v>50</v>
      </c>
      <c r="D63" s="13">
        <v>0</v>
      </c>
      <c r="E63" s="13">
        <v>0</v>
      </c>
      <c r="F63" s="14">
        <f t="shared" si="11"/>
        <v>50</v>
      </c>
      <c r="G63" s="14">
        <f t="shared" si="15"/>
        <v>1416.6666666666667</v>
      </c>
      <c r="H63" s="13">
        <v>9554.85</v>
      </c>
      <c r="I63" s="14">
        <f t="shared" si="13"/>
        <v>7083.3333333333339</v>
      </c>
      <c r="J63" s="13">
        <v>17000</v>
      </c>
      <c r="K63" s="34">
        <f t="shared" si="14"/>
        <v>0.56205000000000005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46</v>
      </c>
      <c r="B64" s="13">
        <v>969.08</v>
      </c>
      <c r="C64" s="13">
        <v>0</v>
      </c>
      <c r="D64" s="13">
        <v>0</v>
      </c>
      <c r="E64" s="13">
        <v>0</v>
      </c>
      <c r="F64" s="14">
        <f t="shared" si="11"/>
        <v>969.08</v>
      </c>
      <c r="G64" s="14">
        <f t="shared" si="15"/>
        <v>1666.6666666666667</v>
      </c>
      <c r="H64" s="13">
        <v>8795.1299999999992</v>
      </c>
      <c r="I64" s="14">
        <f t="shared" si="13"/>
        <v>8333.3333333333339</v>
      </c>
      <c r="J64" s="13">
        <v>20000</v>
      </c>
      <c r="K64" s="34">
        <f t="shared" si="14"/>
        <v>0.43975649999999994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47</v>
      </c>
      <c r="B65" s="13">
        <v>12305.99</v>
      </c>
      <c r="C65" s="13">
        <v>0</v>
      </c>
      <c r="D65" s="13">
        <v>0</v>
      </c>
      <c r="E65" s="13">
        <v>0</v>
      </c>
      <c r="F65" s="14">
        <f t="shared" si="11"/>
        <v>12305.99</v>
      </c>
      <c r="G65" s="14">
        <f t="shared" si="15"/>
        <v>12541.666666666666</v>
      </c>
      <c r="H65" s="13">
        <v>64045.48</v>
      </c>
      <c r="I65" s="14">
        <f t="shared" si="13"/>
        <v>62708.333333333328</v>
      </c>
      <c r="J65" s="13">
        <v>150500</v>
      </c>
      <c r="K65" s="34">
        <f t="shared" si="14"/>
        <v>0.42555136212624589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48</v>
      </c>
      <c r="B66" s="13">
        <v>0</v>
      </c>
      <c r="C66" s="13">
        <v>0</v>
      </c>
      <c r="D66" s="13">
        <v>0</v>
      </c>
      <c r="E66" s="13">
        <v>0</v>
      </c>
      <c r="F66" s="14">
        <f t="shared" si="11"/>
        <v>0</v>
      </c>
      <c r="G66" s="14">
        <f t="shared" si="15"/>
        <v>83.333333333333329</v>
      </c>
      <c r="H66" s="13">
        <v>115</v>
      </c>
      <c r="I66" s="14">
        <f t="shared" si="13"/>
        <v>416.66666666666663</v>
      </c>
      <c r="J66" s="13">
        <v>1000</v>
      </c>
      <c r="K66" s="34">
        <f t="shared" si="14"/>
        <v>0.115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49</v>
      </c>
      <c r="B67" s="13">
        <v>35</v>
      </c>
      <c r="C67" s="13">
        <v>0</v>
      </c>
      <c r="D67" s="13">
        <v>0</v>
      </c>
      <c r="E67" s="13">
        <v>0</v>
      </c>
      <c r="F67" s="14">
        <f t="shared" si="11"/>
        <v>35</v>
      </c>
      <c r="G67" s="14">
        <f t="shared" si="15"/>
        <v>208.33333333333334</v>
      </c>
      <c r="H67" s="13">
        <v>672.75</v>
      </c>
      <c r="I67" s="14">
        <f t="shared" si="13"/>
        <v>1041.6666666666667</v>
      </c>
      <c r="J67" s="13">
        <v>2500</v>
      </c>
      <c r="K67" s="34">
        <f t="shared" si="14"/>
        <v>0.26910000000000001</v>
      </c>
      <c r="L67" s="1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11" t="s">
        <v>50</v>
      </c>
      <c r="B68" s="13">
        <v>0</v>
      </c>
      <c r="C68" s="13">
        <v>0</v>
      </c>
      <c r="D68" s="13">
        <v>0</v>
      </c>
      <c r="E68" s="13">
        <v>0</v>
      </c>
      <c r="F68" s="14">
        <f t="shared" si="11"/>
        <v>0</v>
      </c>
      <c r="G68" s="14">
        <f t="shared" si="15"/>
        <v>2500</v>
      </c>
      <c r="H68" s="13">
        <v>13790.5</v>
      </c>
      <c r="I68" s="14">
        <f t="shared" si="13"/>
        <v>12500</v>
      </c>
      <c r="J68" s="13">
        <v>30000</v>
      </c>
      <c r="K68" s="34">
        <f t="shared" si="14"/>
        <v>0.45968333333333333</v>
      </c>
      <c r="L68" s="1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11" t="s">
        <v>52</v>
      </c>
      <c r="B69" s="13">
        <v>0</v>
      </c>
      <c r="C69" s="13">
        <v>5097.08</v>
      </c>
      <c r="D69" s="13">
        <v>0</v>
      </c>
      <c r="E69" s="13">
        <v>0</v>
      </c>
      <c r="F69" s="14">
        <f t="shared" si="11"/>
        <v>5097.08</v>
      </c>
      <c r="G69" s="14">
        <f t="shared" si="15"/>
        <v>4000</v>
      </c>
      <c r="H69" s="13">
        <v>21137.42</v>
      </c>
      <c r="I69" s="14">
        <f t="shared" si="13"/>
        <v>20000</v>
      </c>
      <c r="J69" s="13">
        <v>48000</v>
      </c>
      <c r="K69" s="34">
        <f t="shared" si="14"/>
        <v>0.4403629166666666</v>
      </c>
      <c r="L69" s="1"/>
      <c r="M69" s="2"/>
      <c r="N69" s="2"/>
      <c r="O69" s="2"/>
      <c r="P69" s="3"/>
      <c r="R69" s="3"/>
    </row>
    <row r="70" spans="1:20" x14ac:dyDescent="0.2">
      <c r="A70" s="11" t="s">
        <v>53</v>
      </c>
      <c r="B70" s="13">
        <v>0</v>
      </c>
      <c r="C70" s="13">
        <v>1285</v>
      </c>
      <c r="D70" s="13">
        <v>0</v>
      </c>
      <c r="E70" s="13">
        <v>0</v>
      </c>
      <c r="F70" s="14">
        <f t="shared" si="11"/>
        <v>1285</v>
      </c>
      <c r="G70" s="14">
        <f t="shared" si="15"/>
        <v>833.33333333333337</v>
      </c>
      <c r="H70" s="13">
        <v>4368.66</v>
      </c>
      <c r="I70" s="14">
        <f t="shared" si="13"/>
        <v>4166.666666666667</v>
      </c>
      <c r="J70" s="13">
        <v>10000</v>
      </c>
      <c r="K70" s="34">
        <f t="shared" si="14"/>
        <v>0.43686599999999998</v>
      </c>
    </row>
    <row r="71" spans="1:20" x14ac:dyDescent="0.2">
      <c r="A71" s="11" t="s">
        <v>54</v>
      </c>
      <c r="B71" s="13">
        <v>0</v>
      </c>
      <c r="C71" s="13">
        <v>0</v>
      </c>
      <c r="D71" s="13">
        <v>0</v>
      </c>
      <c r="E71" s="13">
        <v>0</v>
      </c>
      <c r="F71" s="14">
        <f t="shared" si="11"/>
        <v>0</v>
      </c>
      <c r="G71" s="14">
        <f t="shared" si="15"/>
        <v>4.166666666666667</v>
      </c>
      <c r="H71" s="13">
        <f t="shared" ref="H71:H72" si="16">F71</f>
        <v>0</v>
      </c>
      <c r="I71" s="14">
        <f t="shared" si="13"/>
        <v>20.833333333333336</v>
      </c>
      <c r="J71" s="13">
        <v>50</v>
      </c>
      <c r="K71" s="34">
        <f t="shared" si="14"/>
        <v>0</v>
      </c>
    </row>
    <row r="72" spans="1:20" x14ac:dyDescent="0.2">
      <c r="A72" s="11" t="s">
        <v>72</v>
      </c>
      <c r="B72" s="13">
        <v>0</v>
      </c>
      <c r="C72" s="13">
        <v>0</v>
      </c>
      <c r="D72" s="13">
        <v>0</v>
      </c>
      <c r="E72" s="13">
        <v>0</v>
      </c>
      <c r="F72" s="14">
        <f t="shared" si="11"/>
        <v>0</v>
      </c>
      <c r="G72" s="14">
        <f t="shared" si="15"/>
        <v>1666.6666666666667</v>
      </c>
      <c r="H72" s="13">
        <f t="shared" si="16"/>
        <v>0</v>
      </c>
      <c r="I72" s="14">
        <f t="shared" si="13"/>
        <v>8333.3333333333339</v>
      </c>
      <c r="J72" s="13">
        <v>20000</v>
      </c>
      <c r="K72" s="33">
        <f t="shared" si="14"/>
        <v>0</v>
      </c>
    </row>
    <row r="73" spans="1:20" x14ac:dyDescent="0.2">
      <c r="A73" s="11" t="s">
        <v>55</v>
      </c>
      <c r="B73" s="35">
        <f t="shared" ref="B73:I73" si="17">SUM(B26:B72)</f>
        <v>47250.28</v>
      </c>
      <c r="C73" s="35">
        <f t="shared" si="17"/>
        <v>165573.49</v>
      </c>
      <c r="D73" s="36">
        <f t="shared" si="17"/>
        <v>25100.959999999999</v>
      </c>
      <c r="E73" s="36">
        <f t="shared" si="17"/>
        <v>55492.04</v>
      </c>
      <c r="F73" s="35">
        <f t="shared" si="17"/>
        <v>293416.77</v>
      </c>
      <c r="G73" s="35">
        <f t="shared" si="17"/>
        <v>363791.66666666663</v>
      </c>
      <c r="H73" s="36">
        <f t="shared" si="17"/>
        <v>2034130.9399999997</v>
      </c>
      <c r="I73" s="35">
        <f t="shared" si="17"/>
        <v>1818958.3333333335</v>
      </c>
      <c r="J73" s="36">
        <f>SUM(J46:J72)+SUM(J26:J38)</f>
        <v>4365500</v>
      </c>
      <c r="K73" s="37">
        <f t="shared" si="14"/>
        <v>0.46595600503951429</v>
      </c>
    </row>
    <row r="74" spans="1:20" x14ac:dyDescent="0.2">
      <c r="B74" s="14"/>
      <c r="C74" s="14" t="s">
        <v>69</v>
      </c>
      <c r="D74" s="13"/>
      <c r="E74" s="13"/>
      <c r="F74" s="14"/>
      <c r="G74" s="14"/>
      <c r="H74" s="13"/>
      <c r="I74" s="14"/>
      <c r="J74" s="13"/>
    </row>
    <row r="75" spans="1:20" ht="13.5" thickBot="1" x14ac:dyDescent="0.25">
      <c r="A75" s="11" t="s">
        <v>56</v>
      </c>
      <c r="B75" s="38">
        <f t="shared" ref="B75:H75" si="18">B21-B73</f>
        <v>-47250.28</v>
      </c>
      <c r="C75" s="38">
        <f t="shared" si="18"/>
        <v>40631.370000000024</v>
      </c>
      <c r="D75" s="39">
        <f t="shared" si="18"/>
        <v>122437.92000000001</v>
      </c>
      <c r="E75" s="39">
        <f t="shared" si="18"/>
        <v>-24194.71</v>
      </c>
      <c r="F75" s="38">
        <f t="shared" si="18"/>
        <v>91624.300000000047</v>
      </c>
      <c r="G75" s="38">
        <f t="shared" si="18"/>
        <v>0</v>
      </c>
      <c r="H75" s="39">
        <f t="shared" si="18"/>
        <v>-140461.38000000012</v>
      </c>
      <c r="I75" s="10"/>
      <c r="J75" s="12"/>
    </row>
    <row r="76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4"/>
  <sheetViews>
    <sheetView topLeftCell="A7" zoomScaleNormal="100" workbookViewId="0">
      <selection activeCell="M11" sqref="M11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92</v>
      </c>
    </row>
    <row r="4" spans="1:10" x14ac:dyDescent="0.2">
      <c r="J4" s="16">
        <v>0.5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2" t="s">
        <v>61</v>
      </c>
      <c r="G5" s="41" t="s">
        <v>62</v>
      </c>
      <c r="H5" s="42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2" t="s">
        <v>65</v>
      </c>
      <c r="G6" s="41" t="s">
        <v>66</v>
      </c>
      <c r="H6" s="42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0</v>
      </c>
      <c r="D7" s="13">
        <v>136366.74</v>
      </c>
      <c r="E7" s="14">
        <v>136366.74</v>
      </c>
      <c r="F7" s="14">
        <f>I7/12</f>
        <v>148333.33333333334</v>
      </c>
      <c r="G7" s="13">
        <v>839431.83</v>
      </c>
      <c r="H7" s="14">
        <f>F7*6</f>
        <v>890000</v>
      </c>
      <c r="I7" s="13">
        <v>1780000</v>
      </c>
      <c r="J7" s="32">
        <f>+G7/I7</f>
        <v>0.47159091573033707</v>
      </c>
    </row>
    <row r="8" spans="1:10" x14ac:dyDescent="0.2">
      <c r="A8" s="11" t="s">
        <v>2</v>
      </c>
      <c r="B8" s="13">
        <v>0</v>
      </c>
      <c r="C8" s="13">
        <v>935.14</v>
      </c>
      <c r="D8" s="13">
        <v>6153.81</v>
      </c>
      <c r="E8" s="14">
        <v>6153.81</v>
      </c>
      <c r="F8" s="14">
        <f t="shared" ref="F8:F18" si="0">I8/12</f>
        <v>6083.333333333333</v>
      </c>
      <c r="G8" s="13">
        <v>40267.15</v>
      </c>
      <c r="H8" s="14">
        <f t="shared" ref="H8:H18" si="1">F8*6</f>
        <v>36500</v>
      </c>
      <c r="I8" s="13">
        <v>73000</v>
      </c>
      <c r="J8" s="32">
        <f t="shared" ref="J8:J19" si="2">+G8/I8</f>
        <v>0.551604794520548</v>
      </c>
    </row>
    <row r="9" spans="1:10" x14ac:dyDescent="0.2">
      <c r="A9" s="11" t="s">
        <v>71</v>
      </c>
      <c r="B9" s="13">
        <v>0</v>
      </c>
      <c r="C9" s="13">
        <v>0</v>
      </c>
      <c r="D9" s="13">
        <v>0</v>
      </c>
      <c r="E9" s="14">
        <f t="shared" ref="E9:E18" si="3">+B9+C9+D9</f>
        <v>0</v>
      </c>
      <c r="F9" s="14">
        <f t="shared" si="0"/>
        <v>1250</v>
      </c>
      <c r="G9" s="13">
        <f t="shared" ref="G9" si="4">E9</f>
        <v>0</v>
      </c>
      <c r="H9" s="14">
        <f t="shared" si="1"/>
        <v>7500</v>
      </c>
      <c r="I9" s="13">
        <v>15000</v>
      </c>
      <c r="J9" s="32">
        <f t="shared" si="2"/>
        <v>0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2426.3200000000002</v>
      </c>
      <c r="E10" s="14">
        <f t="shared" si="3"/>
        <v>2426.3200000000002</v>
      </c>
      <c r="F10" s="14">
        <f t="shared" si="0"/>
        <v>3333.3333333333335</v>
      </c>
      <c r="G10" s="13">
        <v>21353.439999999999</v>
      </c>
      <c r="H10" s="14">
        <f t="shared" si="1"/>
        <v>20000</v>
      </c>
      <c r="I10" s="13">
        <v>40000</v>
      </c>
      <c r="J10" s="32">
        <f t="shared" si="2"/>
        <v>0.53383599999999998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726.02</v>
      </c>
      <c r="E11" s="14">
        <f t="shared" si="3"/>
        <v>726.02</v>
      </c>
      <c r="F11" s="14">
        <f t="shared" si="0"/>
        <v>8333.3333333333339</v>
      </c>
      <c r="G11" s="13">
        <v>82136.14</v>
      </c>
      <c r="H11" s="14">
        <f t="shared" si="1"/>
        <v>50000</v>
      </c>
      <c r="I11" s="13">
        <v>100000</v>
      </c>
      <c r="J11" s="32">
        <f t="shared" si="2"/>
        <v>0.82136140000000002</v>
      </c>
    </row>
    <row r="12" spans="1:10" x14ac:dyDescent="0.2">
      <c r="A12" s="11" t="s">
        <v>5</v>
      </c>
      <c r="B12" s="13">
        <v>0</v>
      </c>
      <c r="C12" s="13">
        <v>167931.77</v>
      </c>
      <c r="D12" s="13">
        <v>0</v>
      </c>
      <c r="E12" s="14">
        <f t="shared" si="3"/>
        <v>167931.77</v>
      </c>
      <c r="F12" s="14">
        <f t="shared" si="0"/>
        <v>121666.66666666667</v>
      </c>
      <c r="G12" s="13">
        <v>788313.18</v>
      </c>
      <c r="H12" s="14">
        <f t="shared" si="1"/>
        <v>730000</v>
      </c>
      <c r="I12" s="13">
        <v>1460000</v>
      </c>
      <c r="J12" s="32">
        <f t="shared" si="2"/>
        <v>0.5399405342465754</v>
      </c>
    </row>
    <row r="13" spans="1:10" x14ac:dyDescent="0.2">
      <c r="A13" s="11" t="s">
        <v>6</v>
      </c>
      <c r="B13" s="13">
        <v>0</v>
      </c>
      <c r="C13" s="13">
        <v>663.6</v>
      </c>
      <c r="D13" s="13">
        <v>0</v>
      </c>
      <c r="E13" s="14">
        <f t="shared" si="3"/>
        <v>663.6</v>
      </c>
      <c r="F13" s="14">
        <f t="shared" si="0"/>
        <v>916.66666666666663</v>
      </c>
      <c r="G13" s="13">
        <v>3915.98</v>
      </c>
      <c r="H13" s="14">
        <f t="shared" si="1"/>
        <v>5500</v>
      </c>
      <c r="I13" s="13">
        <v>11000</v>
      </c>
      <c r="J13" s="32">
        <f t="shared" si="2"/>
        <v>0.35599818181818182</v>
      </c>
    </row>
    <row r="14" spans="1:10" x14ac:dyDescent="0.2">
      <c r="A14" s="11" t="s">
        <v>7</v>
      </c>
      <c r="B14" s="13">
        <v>0</v>
      </c>
      <c r="C14" s="13">
        <v>24070.17</v>
      </c>
      <c r="D14" s="13">
        <v>0</v>
      </c>
      <c r="E14" s="14">
        <f t="shared" si="3"/>
        <v>24070.17</v>
      </c>
      <c r="F14" s="14">
        <f t="shared" si="0"/>
        <v>15833.333333333334</v>
      </c>
      <c r="G14" s="13">
        <v>143098.57999999999</v>
      </c>
      <c r="H14" s="14">
        <f t="shared" si="1"/>
        <v>95000</v>
      </c>
      <c r="I14" s="13">
        <v>190000</v>
      </c>
      <c r="J14" s="32">
        <f t="shared" si="2"/>
        <v>0.75315042105263152</v>
      </c>
    </row>
    <row r="15" spans="1:10" x14ac:dyDescent="0.2">
      <c r="A15" s="11" t="s">
        <v>8</v>
      </c>
      <c r="B15" s="13">
        <v>0</v>
      </c>
      <c r="C15" s="13">
        <v>583</v>
      </c>
      <c r="D15" s="13">
        <v>0</v>
      </c>
      <c r="E15" s="14">
        <f t="shared" si="3"/>
        <v>583</v>
      </c>
      <c r="F15" s="14">
        <f t="shared" si="0"/>
        <v>625</v>
      </c>
      <c r="G15" s="13">
        <v>2148.65</v>
      </c>
      <c r="H15" s="14">
        <f t="shared" si="1"/>
        <v>3750</v>
      </c>
      <c r="I15" s="13">
        <v>7500</v>
      </c>
      <c r="J15" s="32">
        <f t="shared" si="2"/>
        <v>0.28648666666666667</v>
      </c>
    </row>
    <row r="16" spans="1:10" x14ac:dyDescent="0.2">
      <c r="A16" s="11" t="s">
        <v>9</v>
      </c>
      <c r="B16" s="13">
        <v>0</v>
      </c>
      <c r="C16" s="13">
        <v>2778.96</v>
      </c>
      <c r="D16" s="13">
        <v>0</v>
      </c>
      <c r="E16" s="14">
        <f t="shared" si="3"/>
        <v>2778.96</v>
      </c>
      <c r="F16" s="14">
        <f t="shared" si="0"/>
        <v>4166.666666666667</v>
      </c>
      <c r="G16" s="13">
        <v>20178.259999999998</v>
      </c>
      <c r="H16" s="14">
        <f t="shared" si="1"/>
        <v>25000</v>
      </c>
      <c r="I16" s="13">
        <v>50000</v>
      </c>
      <c r="J16" s="32">
        <f t="shared" si="2"/>
        <v>0.40356519999999996</v>
      </c>
    </row>
    <row r="17" spans="1:11" x14ac:dyDescent="0.2">
      <c r="A17" s="11" t="s">
        <v>10</v>
      </c>
      <c r="B17" s="13">
        <v>0</v>
      </c>
      <c r="C17" s="13">
        <v>53453.65</v>
      </c>
      <c r="D17" s="13">
        <v>0</v>
      </c>
      <c r="E17" s="14">
        <f t="shared" si="3"/>
        <v>53453.65</v>
      </c>
      <c r="F17" s="14">
        <f t="shared" si="0"/>
        <v>48666.666666666664</v>
      </c>
      <c r="G17" s="13">
        <v>301042.86</v>
      </c>
      <c r="H17" s="14">
        <f t="shared" si="1"/>
        <v>292000</v>
      </c>
      <c r="I17" s="13">
        <v>584000</v>
      </c>
      <c r="J17" s="32">
        <f t="shared" si="2"/>
        <v>0.51548434931506848</v>
      </c>
    </row>
    <row r="18" spans="1:11" x14ac:dyDescent="0.2">
      <c r="A18" s="11" t="s">
        <v>11</v>
      </c>
      <c r="B18" s="13">
        <v>0</v>
      </c>
      <c r="C18" s="13">
        <v>10543.34</v>
      </c>
      <c r="D18" s="13">
        <v>0</v>
      </c>
      <c r="E18" s="14">
        <f t="shared" si="3"/>
        <v>10543.34</v>
      </c>
      <c r="F18" s="14">
        <f t="shared" si="0"/>
        <v>4583.333333333333</v>
      </c>
      <c r="G18" s="13">
        <v>59995.56</v>
      </c>
      <c r="H18" s="14">
        <f t="shared" si="1"/>
        <v>27500</v>
      </c>
      <c r="I18" s="13">
        <v>55000</v>
      </c>
      <c r="J18" s="33">
        <f t="shared" si="2"/>
        <v>1.0908283636363636</v>
      </c>
    </row>
    <row r="19" spans="1:11" x14ac:dyDescent="0.2">
      <c r="A19" s="11" t="s">
        <v>12</v>
      </c>
      <c r="B19" s="43">
        <f t="shared" ref="B19:I19" si="5">SUM(B7:B18)</f>
        <v>0</v>
      </c>
      <c r="C19" s="43">
        <f t="shared" si="5"/>
        <v>260959.62999999998</v>
      </c>
      <c r="D19" s="44">
        <f t="shared" si="5"/>
        <v>145672.88999999998</v>
      </c>
      <c r="E19" s="43">
        <f t="shared" si="5"/>
        <v>405697.38</v>
      </c>
      <c r="F19" s="43">
        <f t="shared" si="5"/>
        <v>363791.66666666674</v>
      </c>
      <c r="G19" s="44">
        <f t="shared" si="5"/>
        <v>2301881.63</v>
      </c>
      <c r="H19" s="43">
        <f>SUM(H7:H18)</f>
        <v>2182750</v>
      </c>
      <c r="I19" s="44">
        <f t="shared" si="5"/>
        <v>4365500</v>
      </c>
      <c r="J19" s="37">
        <f t="shared" si="2"/>
        <v>0.52728934371778713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2" t="s">
        <v>61</v>
      </c>
      <c r="G21" s="41" t="s">
        <v>62</v>
      </c>
      <c r="H21" s="42" t="s">
        <v>62</v>
      </c>
      <c r="I21" s="41" t="s">
        <v>63</v>
      </c>
      <c r="J21" s="16">
        <f>+J4</f>
        <v>0.5</v>
      </c>
    </row>
    <row r="22" spans="1:11" x14ac:dyDescent="0.2">
      <c r="A22" s="11"/>
      <c r="B22" s="42"/>
      <c r="C22" s="45"/>
      <c r="D22" s="41"/>
      <c r="E22" s="42" t="s">
        <v>68</v>
      </c>
      <c r="F22" s="42" t="s">
        <v>65</v>
      </c>
      <c r="G22" s="41" t="s">
        <v>68</v>
      </c>
      <c r="H22" s="42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2"/>
      <c r="G23" s="41"/>
      <c r="H23" s="42"/>
      <c r="I23" s="41"/>
      <c r="J23" s="17" t="s">
        <v>75</v>
      </c>
    </row>
    <row r="24" spans="1:11" x14ac:dyDescent="0.2">
      <c r="A24" s="11" t="s">
        <v>14</v>
      </c>
      <c r="B24" s="13">
        <v>28307.9</v>
      </c>
      <c r="C24" s="13">
        <v>39428.32</v>
      </c>
      <c r="D24" s="13">
        <v>15182</v>
      </c>
      <c r="E24" s="14">
        <f t="shared" ref="E24:E36" si="6">B24+C24+D24</f>
        <v>82918.22</v>
      </c>
      <c r="F24" s="14">
        <f t="shared" ref="F24:F36" si="7">I24/12</f>
        <v>84166.666666666672</v>
      </c>
      <c r="G24" s="13">
        <v>622746.65</v>
      </c>
      <c r="H24" s="14">
        <f t="shared" ref="H24:H36" si="8">F24*6</f>
        <v>505000</v>
      </c>
      <c r="I24" s="13">
        <v>1010000</v>
      </c>
      <c r="J24" s="34">
        <f t="shared" ref="J24:J36" si="9">+G24/I24</f>
        <v>0.61658084158415849</v>
      </c>
    </row>
    <row r="25" spans="1:11" x14ac:dyDescent="0.2">
      <c r="A25" s="11" t="s">
        <v>15</v>
      </c>
      <c r="B25" s="13">
        <v>2273.42</v>
      </c>
      <c r="C25" s="13">
        <v>3706.6</v>
      </c>
      <c r="D25" s="13">
        <v>1228.69</v>
      </c>
      <c r="E25" s="14">
        <f t="shared" si="6"/>
        <v>7208.7100000000009</v>
      </c>
      <c r="F25" s="14">
        <f t="shared" si="7"/>
        <v>6666.666666666667</v>
      </c>
      <c r="G25" s="13">
        <v>52023.55</v>
      </c>
      <c r="H25" s="14">
        <f t="shared" si="8"/>
        <v>40000</v>
      </c>
      <c r="I25" s="13">
        <v>80000</v>
      </c>
      <c r="J25" s="34">
        <f t="shared" si="9"/>
        <v>0.65029437500000009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6"/>
        <v>0</v>
      </c>
      <c r="F26" s="14">
        <f t="shared" si="7"/>
        <v>625</v>
      </c>
      <c r="G26" s="13">
        <f t="shared" ref="G26:G35" si="10">E26</f>
        <v>0</v>
      </c>
      <c r="H26" s="14">
        <f t="shared" si="8"/>
        <v>3750</v>
      </c>
      <c r="I26" s="13">
        <v>7500</v>
      </c>
      <c r="J26" s="34">
        <f t="shared" si="9"/>
        <v>0</v>
      </c>
    </row>
    <row r="27" spans="1:11" x14ac:dyDescent="0.2">
      <c r="A27" s="11" t="s">
        <v>17</v>
      </c>
      <c r="B27" s="13">
        <v>1740.4</v>
      </c>
      <c r="C27" s="13">
        <v>698.32</v>
      </c>
      <c r="D27" s="13">
        <v>1005.8</v>
      </c>
      <c r="E27" s="14">
        <f t="shared" si="6"/>
        <v>3444.5200000000004</v>
      </c>
      <c r="F27" s="14">
        <f t="shared" si="7"/>
        <v>3600</v>
      </c>
      <c r="G27" s="13">
        <v>22089.72</v>
      </c>
      <c r="H27" s="14">
        <f t="shared" si="8"/>
        <v>21600</v>
      </c>
      <c r="I27" s="13">
        <v>43200</v>
      </c>
      <c r="J27" s="34">
        <f t="shared" si="9"/>
        <v>0.5113361111111111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8750</v>
      </c>
      <c r="G28" s="13">
        <v>105312.99</v>
      </c>
      <c r="H28" s="14">
        <f t="shared" si="8"/>
        <v>52500</v>
      </c>
      <c r="I28" s="13">
        <v>105000</v>
      </c>
      <c r="J28" s="34">
        <f t="shared" si="9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6"/>
        <v>0</v>
      </c>
      <c r="F29" s="14">
        <f t="shared" si="7"/>
        <v>833.33333333333337</v>
      </c>
      <c r="G29" s="13">
        <f t="shared" si="10"/>
        <v>0</v>
      </c>
      <c r="H29" s="14">
        <f t="shared" si="8"/>
        <v>5000</v>
      </c>
      <c r="I29" s="13">
        <f>10000</f>
        <v>10000</v>
      </c>
      <c r="J29" s="34">
        <f t="shared" si="9"/>
        <v>0</v>
      </c>
    </row>
    <row r="30" spans="1:11" x14ac:dyDescent="0.2">
      <c r="A30" s="11" t="s">
        <v>20</v>
      </c>
      <c r="B30" s="13">
        <v>0</v>
      </c>
      <c r="C30" s="13">
        <v>0</v>
      </c>
      <c r="D30" s="13">
        <v>0</v>
      </c>
      <c r="E30" s="14">
        <f t="shared" si="6"/>
        <v>0</v>
      </c>
      <c r="F30" s="14">
        <f t="shared" si="7"/>
        <v>2083.3333333333335</v>
      </c>
      <c r="G30" s="13">
        <v>14175</v>
      </c>
      <c r="H30" s="14">
        <f t="shared" si="8"/>
        <v>12500</v>
      </c>
      <c r="I30" s="13">
        <v>25000</v>
      </c>
      <c r="J30" s="34">
        <f t="shared" si="9"/>
        <v>0.56699999999999995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1750</v>
      </c>
      <c r="G31" s="13">
        <v>5840.44</v>
      </c>
      <c r="H31" s="14">
        <f t="shared" si="8"/>
        <v>10500</v>
      </c>
      <c r="I31" s="13">
        <v>21000</v>
      </c>
      <c r="J31" s="34">
        <f t="shared" si="9"/>
        <v>0.27811619047619046</v>
      </c>
    </row>
    <row r="32" spans="1:11" x14ac:dyDescent="0.2">
      <c r="A32" s="11" t="s">
        <v>22</v>
      </c>
      <c r="B32" s="13">
        <v>0</v>
      </c>
      <c r="C32" s="13">
        <v>1294.28</v>
      </c>
      <c r="D32" s="13">
        <v>1027.9000000000001</v>
      </c>
      <c r="E32" s="14">
        <f t="shared" si="6"/>
        <v>2322.1800000000003</v>
      </c>
      <c r="F32" s="14">
        <f t="shared" si="7"/>
        <v>2666.6666666666665</v>
      </c>
      <c r="G32" s="13">
        <v>9918.51</v>
      </c>
      <c r="H32" s="14">
        <f t="shared" si="8"/>
        <v>16000</v>
      </c>
      <c r="I32" s="13">
        <v>32000</v>
      </c>
      <c r="J32" s="34">
        <f t="shared" si="9"/>
        <v>0.30995343749999998</v>
      </c>
    </row>
    <row r="33" spans="1:19" x14ac:dyDescent="0.2">
      <c r="A33" s="11" t="s">
        <v>23</v>
      </c>
      <c r="B33" s="13">
        <v>69.599999999999994</v>
      </c>
      <c r="C33" s="13">
        <v>3879.74</v>
      </c>
      <c r="D33" s="13">
        <v>3836.65</v>
      </c>
      <c r="E33" s="14">
        <f t="shared" si="6"/>
        <v>7785.99</v>
      </c>
      <c r="F33" s="14">
        <f t="shared" si="7"/>
        <v>10833.333333333334</v>
      </c>
      <c r="G33" s="13">
        <v>52132.99</v>
      </c>
      <c r="H33" s="14">
        <f t="shared" si="8"/>
        <v>65000</v>
      </c>
      <c r="I33" s="13">
        <v>130000</v>
      </c>
      <c r="J33" s="34">
        <f t="shared" si="9"/>
        <v>0.40102299999999996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0</v>
      </c>
      <c r="E34" s="14">
        <f t="shared" si="6"/>
        <v>0</v>
      </c>
      <c r="F34" s="14">
        <f t="shared" si="7"/>
        <v>1666.6666666666667</v>
      </c>
      <c r="G34" s="13">
        <v>428.19</v>
      </c>
      <c r="H34" s="14">
        <f t="shared" si="8"/>
        <v>10000</v>
      </c>
      <c r="I34" s="13">
        <v>20000</v>
      </c>
      <c r="J34" s="34">
        <f t="shared" si="9"/>
        <v>2.1409500000000001E-2</v>
      </c>
    </row>
    <row r="35" spans="1:19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6"/>
        <v>0</v>
      </c>
      <c r="F35" s="14">
        <f t="shared" si="7"/>
        <v>250</v>
      </c>
      <c r="G35" s="13">
        <f t="shared" si="10"/>
        <v>0</v>
      </c>
      <c r="H35" s="14">
        <f t="shared" si="8"/>
        <v>1500</v>
      </c>
      <c r="I35" s="13">
        <f>1500+1500</f>
        <v>3000</v>
      </c>
      <c r="J35" s="34">
        <f t="shared" si="9"/>
        <v>0</v>
      </c>
    </row>
    <row r="36" spans="1:19" x14ac:dyDescent="0.2">
      <c r="A36" s="11" t="s">
        <v>26</v>
      </c>
      <c r="B36" s="13">
        <v>0</v>
      </c>
      <c r="C36" s="13">
        <v>0</v>
      </c>
      <c r="D36" s="13">
        <v>0</v>
      </c>
      <c r="E36" s="14">
        <f t="shared" si="6"/>
        <v>0</v>
      </c>
      <c r="F36" s="14">
        <f t="shared" si="7"/>
        <v>30833.333333333332</v>
      </c>
      <c r="G36" s="13">
        <v>109819</v>
      </c>
      <c r="H36" s="14">
        <f t="shared" si="8"/>
        <v>185000</v>
      </c>
      <c r="I36" s="13">
        <v>370000</v>
      </c>
      <c r="J36" s="34">
        <f t="shared" si="9"/>
        <v>0.29680810810810809</v>
      </c>
    </row>
    <row r="37" spans="1:19" x14ac:dyDescent="0.2">
      <c r="A37" s="11"/>
      <c r="B37" s="14"/>
      <c r="C37" s="13"/>
      <c r="D37" s="13"/>
      <c r="E37" s="14"/>
      <c r="F37" s="14"/>
      <c r="G37" s="13"/>
      <c r="H37" s="14"/>
      <c r="I37" s="13"/>
    </row>
    <row r="38" spans="1:19" x14ac:dyDescent="0.2">
      <c r="A38" s="11"/>
      <c r="B38" s="2"/>
      <c r="C38" s="6"/>
      <c r="D38" s="6"/>
      <c r="E38" s="2"/>
      <c r="F38" s="2"/>
      <c r="G38" s="6"/>
      <c r="H38" s="2"/>
      <c r="I38" s="6"/>
    </row>
    <row r="39" spans="1:19" x14ac:dyDescent="0.2">
      <c r="A39" s="11"/>
      <c r="B39" s="1"/>
      <c r="C39" s="7"/>
      <c r="D39" s="8"/>
      <c r="E39" s="1"/>
      <c r="F39" s="1"/>
      <c r="G39" s="8"/>
      <c r="H39" s="1"/>
      <c r="I39" s="8"/>
      <c r="K39" s="1"/>
      <c r="L39" s="1"/>
      <c r="N39" s="1"/>
      <c r="O39" s="1"/>
      <c r="P39" s="1"/>
      <c r="Q39" s="1"/>
      <c r="R39" s="1"/>
      <c r="S39" s="1"/>
    </row>
    <row r="40" spans="1:19" x14ac:dyDescent="0.2">
      <c r="A40" s="11"/>
      <c r="B40" s="2"/>
      <c r="C40" s="6"/>
      <c r="D40" s="6"/>
      <c r="E40" s="2"/>
      <c r="F40" s="2"/>
      <c r="G40" s="6"/>
      <c r="H40" s="2"/>
      <c r="I40" s="6"/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B41" s="42" t="s">
        <v>57</v>
      </c>
      <c r="C41" s="46" t="s">
        <v>58</v>
      </c>
      <c r="D41" s="41" t="s">
        <v>59</v>
      </c>
      <c r="E41" s="42" t="s">
        <v>60</v>
      </c>
      <c r="F41" s="42" t="s">
        <v>61</v>
      </c>
      <c r="G41" s="41" t="s">
        <v>62</v>
      </c>
      <c r="H41" s="42" t="s">
        <v>62</v>
      </c>
      <c r="I41" s="41" t="s">
        <v>63</v>
      </c>
      <c r="J41" s="16">
        <f>+J4</f>
        <v>0.5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/>
      <c r="B42" s="42"/>
      <c r="C42" s="46"/>
      <c r="D42" s="41"/>
      <c r="E42" s="42" t="s">
        <v>68</v>
      </c>
      <c r="F42" s="42" t="s">
        <v>65</v>
      </c>
      <c r="G42" s="41" t="s">
        <v>68</v>
      </c>
      <c r="H42" s="42" t="s">
        <v>67</v>
      </c>
      <c r="I42" s="41" t="s">
        <v>67</v>
      </c>
      <c r="J42" s="17" t="s">
        <v>65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42"/>
      <c r="C43" s="46"/>
      <c r="D43" s="41"/>
      <c r="E43" s="42"/>
      <c r="F43" s="42"/>
      <c r="G43" s="41"/>
      <c r="H43" s="42"/>
      <c r="I43" s="41"/>
      <c r="J43" s="17" t="s">
        <v>75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27</v>
      </c>
      <c r="B44" s="6">
        <v>4712.3100000000004</v>
      </c>
      <c r="C44" s="6">
        <v>7784.21</v>
      </c>
      <c r="D44" s="6">
        <v>4036.01</v>
      </c>
      <c r="E44" s="2">
        <f t="shared" ref="E44:E70" si="11">B44+C44+D44</f>
        <v>16532.53</v>
      </c>
      <c r="F44" s="2">
        <f t="shared" ref="F44:F46" si="12">I44/12</f>
        <v>16500</v>
      </c>
      <c r="G44" s="6">
        <v>102451.13</v>
      </c>
      <c r="H44" s="14">
        <f t="shared" ref="H44:H70" si="13">F44*6</f>
        <v>99000</v>
      </c>
      <c r="I44" s="6">
        <v>198000</v>
      </c>
      <c r="J44" s="34">
        <f t="shared" ref="J44:J71" si="14">+G44/I44</f>
        <v>0.51742994949494947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28</v>
      </c>
      <c r="B45" s="13">
        <v>0</v>
      </c>
      <c r="C45" s="13">
        <v>0</v>
      </c>
      <c r="D45" s="13">
        <v>0</v>
      </c>
      <c r="E45" s="14">
        <f t="shared" si="11"/>
        <v>0</v>
      </c>
      <c r="F45" s="14">
        <f t="shared" si="12"/>
        <v>25520.833333333332</v>
      </c>
      <c r="G45" s="13">
        <v>293204</v>
      </c>
      <c r="H45" s="14">
        <f t="shared" si="13"/>
        <v>153125</v>
      </c>
      <c r="I45" s="13">
        <v>306250</v>
      </c>
      <c r="J45" s="34">
        <f t="shared" si="14"/>
        <v>0.95740081632653062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29</v>
      </c>
      <c r="B46" s="13">
        <v>0</v>
      </c>
      <c r="C46" s="13">
        <v>0</v>
      </c>
      <c r="D46" s="13">
        <v>0</v>
      </c>
      <c r="E46" s="14">
        <f t="shared" si="11"/>
        <v>0</v>
      </c>
      <c r="F46" s="14">
        <f t="shared" si="12"/>
        <v>416.66666666666669</v>
      </c>
      <c r="G46" s="13">
        <v>1236.0899999999999</v>
      </c>
      <c r="H46" s="14">
        <f t="shared" si="13"/>
        <v>2500</v>
      </c>
      <c r="I46" s="13">
        <f>2500+2500</f>
        <v>5000</v>
      </c>
      <c r="J46" s="34">
        <f t="shared" si="14"/>
        <v>0.24721799999999999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30</v>
      </c>
      <c r="B47" s="13">
        <v>0</v>
      </c>
      <c r="C47" s="13">
        <v>2032.46</v>
      </c>
      <c r="D47" s="13">
        <v>2032.48</v>
      </c>
      <c r="E47" s="14">
        <f t="shared" si="11"/>
        <v>4064.94</v>
      </c>
      <c r="F47" s="14">
        <f>I47/12</f>
        <v>1333.3333333333333</v>
      </c>
      <c r="G47" s="13">
        <v>10713.02</v>
      </c>
      <c r="H47" s="14">
        <f t="shared" si="13"/>
        <v>8000</v>
      </c>
      <c r="I47" s="13">
        <f>8000+8000</f>
        <v>16000</v>
      </c>
      <c r="J47" s="34">
        <f t="shared" si="14"/>
        <v>0.66956375000000001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32</v>
      </c>
      <c r="B48" s="13">
        <v>0</v>
      </c>
      <c r="C48" s="13">
        <v>0</v>
      </c>
      <c r="D48" s="13">
        <v>0</v>
      </c>
      <c r="E48" s="14">
        <f t="shared" si="11"/>
        <v>0</v>
      </c>
      <c r="F48" s="14">
        <f t="shared" ref="F48:F70" si="15">I48/12</f>
        <v>6500</v>
      </c>
      <c r="G48" s="13">
        <v>0</v>
      </c>
      <c r="H48" s="14">
        <f t="shared" si="13"/>
        <v>39000</v>
      </c>
      <c r="I48" s="13">
        <v>78000</v>
      </c>
      <c r="J48" s="34">
        <f t="shared" si="14"/>
        <v>0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33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 t="shared" si="15"/>
        <v>750</v>
      </c>
      <c r="G49" s="13">
        <v>1644.61</v>
      </c>
      <c r="H49" s="14">
        <f t="shared" si="13"/>
        <v>4500</v>
      </c>
      <c r="I49" s="13">
        <v>9000</v>
      </c>
      <c r="J49" s="34">
        <f t="shared" si="14"/>
        <v>0.18273444444444442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34</v>
      </c>
      <c r="B50" s="13">
        <v>0</v>
      </c>
      <c r="C50" s="13">
        <v>295.86</v>
      </c>
      <c r="D50" s="13">
        <v>1.63</v>
      </c>
      <c r="E50" s="14">
        <f t="shared" si="11"/>
        <v>297.49</v>
      </c>
      <c r="F50" s="14">
        <f t="shared" si="15"/>
        <v>1250</v>
      </c>
      <c r="G50" s="13">
        <v>7306.12</v>
      </c>
      <c r="H50" s="14">
        <f t="shared" si="13"/>
        <v>7500</v>
      </c>
      <c r="I50" s="13">
        <v>15000</v>
      </c>
      <c r="J50" s="34">
        <f t="shared" si="14"/>
        <v>0.48707466666666666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35</v>
      </c>
      <c r="B51" s="13">
        <v>0</v>
      </c>
      <c r="C51" s="13">
        <v>1169.51</v>
      </c>
      <c r="D51" s="13">
        <v>2744.44</v>
      </c>
      <c r="E51" s="14">
        <f t="shared" si="11"/>
        <v>3913.95</v>
      </c>
      <c r="F51" s="14">
        <f t="shared" si="15"/>
        <v>13750</v>
      </c>
      <c r="G51" s="13">
        <v>43964.23</v>
      </c>
      <c r="H51" s="14">
        <f t="shared" si="13"/>
        <v>82500</v>
      </c>
      <c r="I51" s="13">
        <v>165000</v>
      </c>
      <c r="J51" s="34">
        <f t="shared" si="14"/>
        <v>0.26644987878787879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36</v>
      </c>
      <c r="B52" s="13">
        <v>0</v>
      </c>
      <c r="C52" s="13">
        <v>120556.76</v>
      </c>
      <c r="D52" s="13">
        <v>0</v>
      </c>
      <c r="E52" s="14">
        <f t="shared" si="11"/>
        <v>120556.76</v>
      </c>
      <c r="F52" s="14">
        <f t="shared" si="15"/>
        <v>91666.666666666672</v>
      </c>
      <c r="G52" s="13">
        <v>576533.28</v>
      </c>
      <c r="H52" s="14">
        <f t="shared" si="13"/>
        <v>550000</v>
      </c>
      <c r="I52" s="13">
        <v>1100000</v>
      </c>
      <c r="J52" s="34">
        <f t="shared" si="14"/>
        <v>0.52412116363636363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37</v>
      </c>
      <c r="B53" s="13">
        <v>0</v>
      </c>
      <c r="C53" s="13">
        <v>0</v>
      </c>
      <c r="D53" s="13">
        <v>0</v>
      </c>
      <c r="E53" s="14">
        <f t="shared" si="11"/>
        <v>0</v>
      </c>
      <c r="F53" s="14">
        <f t="shared" si="15"/>
        <v>875</v>
      </c>
      <c r="G53" s="13">
        <v>2305.89</v>
      </c>
      <c r="H53" s="14">
        <f t="shared" si="13"/>
        <v>5250</v>
      </c>
      <c r="I53" s="13">
        <v>10500</v>
      </c>
      <c r="J53" s="34">
        <f t="shared" si="14"/>
        <v>0.2196085714285714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38</v>
      </c>
      <c r="B54" s="13">
        <v>0</v>
      </c>
      <c r="C54" s="13">
        <v>8975.75</v>
      </c>
      <c r="D54" s="13">
        <v>0</v>
      </c>
      <c r="E54" s="14">
        <f t="shared" si="11"/>
        <v>8975.75</v>
      </c>
      <c r="F54" s="14">
        <f t="shared" si="15"/>
        <v>3333.3333333333335</v>
      </c>
      <c r="G54" s="13">
        <v>40894</v>
      </c>
      <c r="H54" s="14">
        <f t="shared" si="13"/>
        <v>20000</v>
      </c>
      <c r="I54" s="13">
        <v>40000</v>
      </c>
      <c r="J54" s="34">
        <f t="shared" si="14"/>
        <v>1.0223500000000001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39</v>
      </c>
      <c r="B55" s="13">
        <v>0</v>
      </c>
      <c r="C55" s="13">
        <v>632.09</v>
      </c>
      <c r="D55" s="13">
        <v>0</v>
      </c>
      <c r="E55" s="14">
        <f t="shared" si="11"/>
        <v>632.09</v>
      </c>
      <c r="F55" s="14">
        <f t="shared" si="15"/>
        <v>625</v>
      </c>
      <c r="G55" s="13">
        <v>2523.1799999999998</v>
      </c>
      <c r="H55" s="14">
        <f t="shared" si="13"/>
        <v>3750</v>
      </c>
      <c r="I55" s="13">
        <v>7500</v>
      </c>
      <c r="J55" s="34">
        <f t="shared" si="14"/>
        <v>0.336424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40</v>
      </c>
      <c r="B56" s="13">
        <v>0</v>
      </c>
      <c r="C56" s="13">
        <v>1178.3599999999999</v>
      </c>
      <c r="D56" s="13">
        <v>38.04</v>
      </c>
      <c r="E56" s="14">
        <f t="shared" si="11"/>
        <v>1216.3999999999999</v>
      </c>
      <c r="F56" s="14">
        <f t="shared" si="15"/>
        <v>875</v>
      </c>
      <c r="G56" s="13">
        <v>3257.39</v>
      </c>
      <c r="H56" s="14">
        <f t="shared" si="13"/>
        <v>5250</v>
      </c>
      <c r="I56" s="13">
        <v>10500</v>
      </c>
      <c r="J56" s="34">
        <f t="shared" si="14"/>
        <v>0.31022761904761903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41</v>
      </c>
      <c r="B57" s="13">
        <v>389.2</v>
      </c>
      <c r="C57" s="13">
        <v>1693.95</v>
      </c>
      <c r="D57" s="13">
        <v>0</v>
      </c>
      <c r="E57" s="14">
        <f t="shared" si="11"/>
        <v>2083.15</v>
      </c>
      <c r="F57" s="14">
        <f t="shared" si="15"/>
        <v>2500</v>
      </c>
      <c r="G57" s="13">
        <v>25628.35</v>
      </c>
      <c r="H57" s="14">
        <f t="shared" si="13"/>
        <v>15000</v>
      </c>
      <c r="I57" s="13">
        <v>30000</v>
      </c>
      <c r="J57" s="34">
        <f t="shared" si="14"/>
        <v>0.85427833333333325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42</v>
      </c>
      <c r="B58" s="13">
        <v>0</v>
      </c>
      <c r="C58" s="13">
        <v>307.74</v>
      </c>
      <c r="D58" s="13">
        <v>0</v>
      </c>
      <c r="E58" s="14">
        <f t="shared" si="11"/>
        <v>307.74</v>
      </c>
      <c r="F58" s="14">
        <f t="shared" si="15"/>
        <v>13333.333333333334</v>
      </c>
      <c r="G58" s="13">
        <v>38845.97</v>
      </c>
      <c r="H58" s="14">
        <f t="shared" si="13"/>
        <v>80000</v>
      </c>
      <c r="I58" s="13">
        <v>160000</v>
      </c>
      <c r="J58" s="34">
        <f t="shared" si="14"/>
        <v>0.24278731250000002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43</v>
      </c>
      <c r="B59" s="13">
        <v>0</v>
      </c>
      <c r="C59" s="13">
        <v>4543.28</v>
      </c>
      <c r="D59" s="13">
        <v>0</v>
      </c>
      <c r="E59" s="14">
        <f t="shared" si="11"/>
        <v>4543.28</v>
      </c>
      <c r="F59" s="14">
        <f t="shared" si="15"/>
        <v>3333.3333333333335</v>
      </c>
      <c r="G59" s="13">
        <v>25871.02</v>
      </c>
      <c r="H59" s="14">
        <f t="shared" si="13"/>
        <v>20000</v>
      </c>
      <c r="I59" s="13">
        <v>40000</v>
      </c>
      <c r="J59" s="34">
        <f t="shared" si="14"/>
        <v>0.64677550000000006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44</v>
      </c>
      <c r="B60" s="13">
        <v>0</v>
      </c>
      <c r="C60" s="13">
        <v>0</v>
      </c>
      <c r="D60" s="13">
        <v>0</v>
      </c>
      <c r="E60" s="14">
        <f t="shared" si="11"/>
        <v>0</v>
      </c>
      <c r="F60" s="14">
        <f t="shared" si="15"/>
        <v>1583.3333333333333</v>
      </c>
      <c r="G60" s="13">
        <v>22802</v>
      </c>
      <c r="H60" s="14">
        <f t="shared" si="13"/>
        <v>9500</v>
      </c>
      <c r="I60" s="13">
        <v>19000</v>
      </c>
      <c r="J60" s="34">
        <f t="shared" si="14"/>
        <v>1.2001052631578948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45</v>
      </c>
      <c r="B61" s="13">
        <v>0</v>
      </c>
      <c r="C61" s="13">
        <v>740.8</v>
      </c>
      <c r="D61" s="13">
        <v>0</v>
      </c>
      <c r="E61" s="14">
        <f t="shared" si="11"/>
        <v>740.8</v>
      </c>
      <c r="F61" s="14">
        <f t="shared" si="15"/>
        <v>1416.6666666666667</v>
      </c>
      <c r="G61" s="13">
        <v>10348.280000000001</v>
      </c>
      <c r="H61" s="14">
        <f t="shared" si="13"/>
        <v>8500</v>
      </c>
      <c r="I61" s="13">
        <v>17000</v>
      </c>
      <c r="J61" s="34">
        <f t="shared" si="14"/>
        <v>0.60872235294117649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46</v>
      </c>
      <c r="B62" s="13">
        <v>1776.66</v>
      </c>
      <c r="C62" s="13">
        <v>0</v>
      </c>
      <c r="D62" s="13">
        <v>0</v>
      </c>
      <c r="E62" s="14">
        <f t="shared" si="11"/>
        <v>1776.66</v>
      </c>
      <c r="F62" s="14">
        <f t="shared" si="15"/>
        <v>1666.6666666666667</v>
      </c>
      <c r="G62" s="13">
        <v>10571.79</v>
      </c>
      <c r="H62" s="14">
        <f t="shared" si="13"/>
        <v>10000</v>
      </c>
      <c r="I62" s="13">
        <v>20000</v>
      </c>
      <c r="J62" s="34">
        <f t="shared" si="14"/>
        <v>0.52858950000000005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47</v>
      </c>
      <c r="B63" s="13">
        <v>11476.15</v>
      </c>
      <c r="C63" s="13">
        <v>0</v>
      </c>
      <c r="D63" s="13">
        <v>0</v>
      </c>
      <c r="E63" s="14">
        <f t="shared" si="11"/>
        <v>11476.15</v>
      </c>
      <c r="F63" s="14">
        <f t="shared" si="15"/>
        <v>12541.666666666666</v>
      </c>
      <c r="G63" s="13">
        <v>75521.63</v>
      </c>
      <c r="H63" s="14">
        <f t="shared" si="13"/>
        <v>75250</v>
      </c>
      <c r="I63" s="13">
        <v>150500</v>
      </c>
      <c r="J63" s="34">
        <f t="shared" si="14"/>
        <v>0.50180485049833889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48</v>
      </c>
      <c r="B64" s="13">
        <v>125</v>
      </c>
      <c r="C64" s="13">
        <v>0</v>
      </c>
      <c r="D64" s="13">
        <v>0</v>
      </c>
      <c r="E64" s="14">
        <f t="shared" si="11"/>
        <v>125</v>
      </c>
      <c r="F64" s="14">
        <f t="shared" si="15"/>
        <v>83.333333333333329</v>
      </c>
      <c r="G64" s="13">
        <v>240</v>
      </c>
      <c r="H64" s="14">
        <f t="shared" si="13"/>
        <v>500</v>
      </c>
      <c r="I64" s="13">
        <v>1000</v>
      </c>
      <c r="J64" s="34">
        <f t="shared" si="14"/>
        <v>0.24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49</v>
      </c>
      <c r="B65" s="13">
        <v>0</v>
      </c>
      <c r="C65" s="13">
        <v>219.79</v>
      </c>
      <c r="D65" s="13">
        <v>0</v>
      </c>
      <c r="E65" s="14">
        <f t="shared" si="11"/>
        <v>219.79</v>
      </c>
      <c r="F65" s="14">
        <f t="shared" si="15"/>
        <v>208.33333333333334</v>
      </c>
      <c r="G65" s="13">
        <v>1109.18</v>
      </c>
      <c r="H65" s="14">
        <f t="shared" si="13"/>
        <v>1250</v>
      </c>
      <c r="I65" s="13">
        <v>2500</v>
      </c>
      <c r="J65" s="34">
        <f t="shared" si="14"/>
        <v>0.44367200000000001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50</v>
      </c>
      <c r="B66" s="13">
        <v>3400</v>
      </c>
      <c r="C66" s="13">
        <v>0</v>
      </c>
      <c r="D66" s="13">
        <v>0</v>
      </c>
      <c r="E66" s="14">
        <f t="shared" si="11"/>
        <v>3400</v>
      </c>
      <c r="F66" s="14">
        <f t="shared" si="15"/>
        <v>2500</v>
      </c>
      <c r="G66" s="13">
        <v>17190.5</v>
      </c>
      <c r="H66" s="14">
        <f t="shared" si="13"/>
        <v>15000</v>
      </c>
      <c r="I66" s="13">
        <v>30000</v>
      </c>
      <c r="J66" s="34">
        <f t="shared" si="14"/>
        <v>0.57301666666666662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52</v>
      </c>
      <c r="B67" s="13">
        <v>0</v>
      </c>
      <c r="C67" s="13">
        <v>6250.99</v>
      </c>
      <c r="D67" s="13">
        <v>0</v>
      </c>
      <c r="E67" s="14">
        <f t="shared" si="11"/>
        <v>6250.99</v>
      </c>
      <c r="F67" s="14">
        <f t="shared" si="15"/>
        <v>4000</v>
      </c>
      <c r="G67" s="13">
        <v>27388.41</v>
      </c>
      <c r="H67" s="14">
        <f t="shared" si="13"/>
        <v>24000</v>
      </c>
      <c r="I67" s="13">
        <v>48000</v>
      </c>
      <c r="J67" s="34">
        <f t="shared" si="14"/>
        <v>0.57059187499999997</v>
      </c>
      <c r="K67" s="1"/>
      <c r="L67" s="2"/>
      <c r="M67" s="2"/>
      <c r="N67" s="2"/>
      <c r="O67" s="3"/>
      <c r="Q67" s="3"/>
    </row>
    <row r="68" spans="1:19" x14ac:dyDescent="0.2">
      <c r="A68" s="11" t="s">
        <v>53</v>
      </c>
      <c r="B68" s="13">
        <v>0</v>
      </c>
      <c r="C68" s="13">
        <v>254</v>
      </c>
      <c r="D68" s="13">
        <v>0</v>
      </c>
      <c r="E68" s="14">
        <f t="shared" si="11"/>
        <v>254</v>
      </c>
      <c r="F68" s="14">
        <f t="shared" si="15"/>
        <v>833.33333333333337</v>
      </c>
      <c r="G68" s="13">
        <v>4622.66</v>
      </c>
      <c r="H68" s="14">
        <f t="shared" si="13"/>
        <v>5000</v>
      </c>
      <c r="I68" s="13">
        <v>10000</v>
      </c>
      <c r="J68" s="34">
        <f t="shared" si="14"/>
        <v>0.46226600000000001</v>
      </c>
    </row>
    <row r="69" spans="1:19" x14ac:dyDescent="0.2">
      <c r="A69" s="11" t="s">
        <v>54</v>
      </c>
      <c r="B69" s="13">
        <v>0</v>
      </c>
      <c r="C69" s="13">
        <v>0</v>
      </c>
      <c r="D69" s="13">
        <v>0</v>
      </c>
      <c r="E69" s="14">
        <f t="shared" si="11"/>
        <v>0</v>
      </c>
      <c r="F69" s="14">
        <f t="shared" si="15"/>
        <v>4.166666666666667</v>
      </c>
      <c r="G69" s="13">
        <f t="shared" ref="G69:G70" si="16">E69</f>
        <v>0</v>
      </c>
      <c r="H69" s="14">
        <f t="shared" si="13"/>
        <v>25</v>
      </c>
      <c r="I69" s="13">
        <v>50</v>
      </c>
      <c r="J69" s="34">
        <f t="shared" si="14"/>
        <v>0</v>
      </c>
    </row>
    <row r="70" spans="1:19" x14ac:dyDescent="0.2">
      <c r="A70" s="11" t="s">
        <v>72</v>
      </c>
      <c r="B70" s="13">
        <v>0</v>
      </c>
      <c r="C70" s="13">
        <v>0</v>
      </c>
      <c r="D70" s="13">
        <v>0</v>
      </c>
      <c r="E70" s="14">
        <f t="shared" si="11"/>
        <v>0</v>
      </c>
      <c r="F70" s="14">
        <f t="shared" si="15"/>
        <v>1666.6666666666667</v>
      </c>
      <c r="G70" s="13">
        <f t="shared" si="16"/>
        <v>0</v>
      </c>
      <c r="H70" s="14">
        <f t="shared" si="13"/>
        <v>10000</v>
      </c>
      <c r="I70" s="13">
        <v>20000</v>
      </c>
      <c r="J70" s="33">
        <f t="shared" si="14"/>
        <v>0</v>
      </c>
    </row>
    <row r="71" spans="1:19" x14ac:dyDescent="0.2">
      <c r="A71" s="11" t="s">
        <v>55</v>
      </c>
      <c r="B71" s="43">
        <f t="shared" ref="B71:H71" si="17">SUM(B24:B70)</f>
        <v>54270.64</v>
      </c>
      <c r="C71" s="43">
        <f t="shared" si="17"/>
        <v>205642.80999999997</v>
      </c>
      <c r="D71" s="44">
        <f t="shared" si="17"/>
        <v>31133.640000000003</v>
      </c>
      <c r="E71" s="43">
        <f t="shared" si="17"/>
        <v>291047.08999999997</v>
      </c>
      <c r="F71" s="43">
        <f t="shared" si="17"/>
        <v>363791.66666666663</v>
      </c>
      <c r="G71" s="44">
        <f t="shared" si="17"/>
        <v>2340659.7700000005</v>
      </c>
      <c r="H71" s="43">
        <f t="shared" si="17"/>
        <v>2182750</v>
      </c>
      <c r="I71" s="44">
        <f>SUM(I44:I70)+SUM(I24:I36)</f>
        <v>4365500</v>
      </c>
      <c r="J71" s="37">
        <f t="shared" si="14"/>
        <v>0.5361722070782271</v>
      </c>
    </row>
    <row r="72" spans="1:19" x14ac:dyDescent="0.2">
      <c r="B72" s="14"/>
      <c r="C72" s="14" t="s">
        <v>69</v>
      </c>
      <c r="D72" s="13"/>
      <c r="E72" s="14"/>
      <c r="F72" s="14"/>
      <c r="G72" s="13"/>
      <c r="H72" s="14"/>
      <c r="I72" s="13"/>
    </row>
    <row r="73" spans="1:19" ht="13.5" thickBot="1" x14ac:dyDescent="0.25">
      <c r="A73" s="11" t="s">
        <v>56</v>
      </c>
      <c r="B73" s="38">
        <f t="shared" ref="B73:G73" si="18">B19-B71</f>
        <v>-54270.64</v>
      </c>
      <c r="C73" s="38">
        <f t="shared" si="18"/>
        <v>55316.820000000007</v>
      </c>
      <c r="D73" s="39">
        <f t="shared" si="18"/>
        <v>114539.24999999999</v>
      </c>
      <c r="E73" s="38">
        <f t="shared" si="18"/>
        <v>114650.29000000004</v>
      </c>
      <c r="F73" s="38">
        <f t="shared" si="18"/>
        <v>0</v>
      </c>
      <c r="G73" s="39">
        <f t="shared" si="18"/>
        <v>-38778.140000000596</v>
      </c>
      <c r="H73" s="10"/>
      <c r="I73" s="12"/>
    </row>
    <row r="74" spans="1:19" ht="13.5" thickTop="1" x14ac:dyDescent="0.2"/>
  </sheetData>
  <pageMargins left="0.7" right="0.7" top="0.75" bottom="0.75" header="0.3" footer="0.3"/>
  <pageSetup orientation="landscape" r:id="rId1"/>
  <rowBreaks count="1" manualBreakCount="1">
    <brk id="36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42DD-134D-46B0-A6BF-D488CA8AFADB}">
  <dimension ref="A1:T74"/>
  <sheetViews>
    <sheetView workbookViewId="0">
      <selection activeCell="P14" sqref="P14"/>
    </sheetView>
  </sheetViews>
  <sheetFormatPr defaultRowHeight="12.75" x14ac:dyDescent="0.2"/>
  <cols>
    <col min="1" max="1" width="28.7109375" style="10" bestFit="1" customWidth="1"/>
    <col min="2" max="2" width="9.42578125" bestFit="1" customWidth="1"/>
    <col min="3" max="3" width="10.7109375" customWidth="1"/>
    <col min="4" max="4" width="11.140625" style="7" customWidth="1"/>
    <col min="5" max="5" width="8.85546875" style="7" bestFit="1" customWidth="1"/>
    <col min="6" max="6" width="10.7109375" bestFit="1" customWidth="1"/>
    <col min="7" max="7" width="9.85546875" bestFit="1" customWidth="1"/>
    <col min="8" max="8" width="11.28515625" style="7" bestFit="1" customWidth="1"/>
    <col min="9" max="9" width="11.28515625" bestFit="1" customWidth="1"/>
    <col min="10" max="10" width="11.28515625" style="7" bestFit="1" customWidth="1"/>
    <col min="11" max="11" width="8.5703125" bestFit="1" customWidth="1"/>
    <col min="12" max="12" width="11.7109375" bestFit="1" customWidth="1"/>
  </cols>
  <sheetData>
    <row r="1" spans="1:11" ht="15.75" x14ac:dyDescent="0.25">
      <c r="F1" s="31" t="s">
        <v>74</v>
      </c>
    </row>
    <row r="3" spans="1:11" ht="15.75" x14ac:dyDescent="0.25">
      <c r="F3" s="31" t="s">
        <v>92</v>
      </c>
    </row>
    <row r="4" spans="1:11" x14ac:dyDescent="0.2">
      <c r="K4" s="16">
        <v>0.5</v>
      </c>
    </row>
    <row r="5" spans="1:11" x14ac:dyDescent="0.2">
      <c r="B5" s="42" t="s">
        <v>57</v>
      </c>
      <c r="C5" s="45" t="s">
        <v>58</v>
      </c>
      <c r="D5" s="41" t="s">
        <v>59</v>
      </c>
      <c r="E5" s="41" t="s">
        <v>93</v>
      </c>
      <c r="F5" s="42" t="s">
        <v>60</v>
      </c>
      <c r="G5" s="42" t="s">
        <v>61</v>
      </c>
      <c r="H5" s="41" t="s">
        <v>62</v>
      </c>
      <c r="I5" s="42" t="s">
        <v>62</v>
      </c>
      <c r="J5" s="41" t="s">
        <v>63</v>
      </c>
      <c r="K5" s="17" t="s">
        <v>65</v>
      </c>
    </row>
    <row r="6" spans="1:11" x14ac:dyDescent="0.2">
      <c r="A6" s="11" t="s">
        <v>0</v>
      </c>
      <c r="B6" s="42"/>
      <c r="C6" s="45"/>
      <c r="D6" s="41"/>
      <c r="E6" s="41"/>
      <c r="F6" s="42" t="s">
        <v>64</v>
      </c>
      <c r="G6" s="42" t="s">
        <v>65</v>
      </c>
      <c r="H6" s="41" t="s">
        <v>66</v>
      </c>
      <c r="I6" s="42" t="s">
        <v>67</v>
      </c>
      <c r="J6" s="41" t="s">
        <v>67</v>
      </c>
      <c r="K6" s="17" t="s">
        <v>75</v>
      </c>
    </row>
    <row r="7" spans="1:11" x14ac:dyDescent="0.2">
      <c r="A7" s="11" t="s">
        <v>1</v>
      </c>
      <c r="B7" s="13">
        <v>0</v>
      </c>
      <c r="C7" s="13">
        <v>0</v>
      </c>
      <c r="D7" s="13">
        <v>136366.74</v>
      </c>
      <c r="E7" s="13">
        <v>0</v>
      </c>
      <c r="F7" s="14">
        <f>SUM(B7:E7)</f>
        <v>136366.74</v>
      </c>
      <c r="G7" s="14">
        <f>J7/12</f>
        <v>148333.33333333334</v>
      </c>
      <c r="H7" s="13">
        <v>839431.83</v>
      </c>
      <c r="I7" s="14">
        <f>G7*6</f>
        <v>890000</v>
      </c>
      <c r="J7" s="13">
        <v>1780000</v>
      </c>
      <c r="K7" s="32">
        <f>+H7/J7</f>
        <v>0.47159091573033707</v>
      </c>
    </row>
    <row r="8" spans="1:11" x14ac:dyDescent="0.2">
      <c r="A8" s="11" t="s">
        <v>2</v>
      </c>
      <c r="B8" s="13">
        <v>0</v>
      </c>
      <c r="C8" s="13">
        <v>935.14</v>
      </c>
      <c r="D8" s="13">
        <v>6153.81</v>
      </c>
      <c r="E8" s="13">
        <v>0</v>
      </c>
      <c r="F8" s="14">
        <f t="shared" ref="F8:F18" si="0">SUM(B8:E8)</f>
        <v>7088.9500000000007</v>
      </c>
      <c r="G8" s="14">
        <f t="shared" ref="G8:G18" si="1">J8/12</f>
        <v>6083.333333333333</v>
      </c>
      <c r="H8" s="13">
        <v>40267.15</v>
      </c>
      <c r="I8" s="14">
        <f t="shared" ref="I8:I18" si="2">G8*6</f>
        <v>36500</v>
      </c>
      <c r="J8" s="13">
        <v>73000</v>
      </c>
      <c r="K8" s="32">
        <f t="shared" ref="K8:K19" si="3">+H8/J8</f>
        <v>0.551604794520548</v>
      </c>
    </row>
    <row r="9" spans="1:11" x14ac:dyDescent="0.2">
      <c r="A9" s="11" t="s">
        <v>71</v>
      </c>
      <c r="B9" s="13">
        <v>0</v>
      </c>
      <c r="C9" s="13">
        <v>0</v>
      </c>
      <c r="D9" s="13">
        <v>0</v>
      </c>
      <c r="E9" s="13">
        <v>0</v>
      </c>
      <c r="F9" s="14">
        <f t="shared" si="0"/>
        <v>0</v>
      </c>
      <c r="G9" s="14">
        <f t="shared" si="1"/>
        <v>1250</v>
      </c>
      <c r="H9" s="13">
        <f t="shared" ref="H9" si="4">F9</f>
        <v>0</v>
      </c>
      <c r="I9" s="14">
        <f t="shared" si="2"/>
        <v>7500</v>
      </c>
      <c r="J9" s="13">
        <v>15000</v>
      </c>
      <c r="K9" s="32">
        <f t="shared" si="3"/>
        <v>0</v>
      </c>
    </row>
    <row r="10" spans="1:11" x14ac:dyDescent="0.2">
      <c r="A10" s="11" t="s">
        <v>3</v>
      </c>
      <c r="B10" s="13">
        <v>0</v>
      </c>
      <c r="C10" s="13">
        <v>0</v>
      </c>
      <c r="D10" s="13">
        <v>2426.3200000000002</v>
      </c>
      <c r="E10" s="13">
        <v>0</v>
      </c>
      <c r="F10" s="14">
        <f t="shared" si="0"/>
        <v>2426.3200000000002</v>
      </c>
      <c r="G10" s="14">
        <f t="shared" si="1"/>
        <v>3333.3333333333335</v>
      </c>
      <c r="H10" s="13">
        <v>21353.439999999999</v>
      </c>
      <c r="I10" s="14">
        <f t="shared" si="2"/>
        <v>20000</v>
      </c>
      <c r="J10" s="13">
        <v>40000</v>
      </c>
      <c r="K10" s="32">
        <f t="shared" si="3"/>
        <v>0.53383599999999998</v>
      </c>
    </row>
    <row r="11" spans="1:11" x14ac:dyDescent="0.2">
      <c r="A11" s="11" t="s">
        <v>4</v>
      </c>
      <c r="B11" s="13">
        <v>0</v>
      </c>
      <c r="C11" s="13">
        <v>0</v>
      </c>
      <c r="D11" s="13">
        <v>726.02</v>
      </c>
      <c r="E11" s="13">
        <v>0</v>
      </c>
      <c r="F11" s="14">
        <f t="shared" si="0"/>
        <v>726.02</v>
      </c>
      <c r="G11" s="14">
        <f t="shared" si="1"/>
        <v>8333.3333333333339</v>
      </c>
      <c r="H11" s="13">
        <v>82136.14</v>
      </c>
      <c r="I11" s="14">
        <f t="shared" si="2"/>
        <v>50000</v>
      </c>
      <c r="J11" s="13">
        <v>100000</v>
      </c>
      <c r="K11" s="32">
        <f t="shared" si="3"/>
        <v>0.82136140000000002</v>
      </c>
    </row>
    <row r="12" spans="1:11" x14ac:dyDescent="0.2">
      <c r="A12" s="11" t="s">
        <v>5</v>
      </c>
      <c r="B12" s="13">
        <v>0</v>
      </c>
      <c r="C12" s="13">
        <v>167931.77</v>
      </c>
      <c r="D12" s="13">
        <v>0</v>
      </c>
      <c r="E12" s="13">
        <v>0</v>
      </c>
      <c r="F12" s="14">
        <f t="shared" si="0"/>
        <v>167931.77</v>
      </c>
      <c r="G12" s="14">
        <f t="shared" si="1"/>
        <v>121666.66666666667</v>
      </c>
      <c r="H12" s="13">
        <v>788313.18</v>
      </c>
      <c r="I12" s="14">
        <f t="shared" si="2"/>
        <v>730000</v>
      </c>
      <c r="J12" s="13">
        <v>1460000</v>
      </c>
      <c r="K12" s="32">
        <f t="shared" si="3"/>
        <v>0.5399405342465754</v>
      </c>
    </row>
    <row r="13" spans="1:11" x14ac:dyDescent="0.2">
      <c r="A13" s="11" t="s">
        <v>6</v>
      </c>
      <c r="B13" s="13">
        <v>0</v>
      </c>
      <c r="C13" s="13">
        <v>663.6</v>
      </c>
      <c r="D13" s="13">
        <v>0</v>
      </c>
      <c r="E13" s="13">
        <v>0</v>
      </c>
      <c r="F13" s="14">
        <f t="shared" si="0"/>
        <v>663.6</v>
      </c>
      <c r="G13" s="14">
        <f t="shared" si="1"/>
        <v>916.66666666666663</v>
      </c>
      <c r="H13" s="13">
        <v>3915.98</v>
      </c>
      <c r="I13" s="14">
        <f t="shared" si="2"/>
        <v>5500</v>
      </c>
      <c r="J13" s="13">
        <v>11000</v>
      </c>
      <c r="K13" s="32">
        <f t="shared" si="3"/>
        <v>0.35599818181818182</v>
      </c>
    </row>
    <row r="14" spans="1:11" x14ac:dyDescent="0.2">
      <c r="A14" s="11" t="s">
        <v>7</v>
      </c>
      <c r="B14" s="13">
        <v>0</v>
      </c>
      <c r="C14" s="13">
        <v>0</v>
      </c>
      <c r="D14" s="13">
        <v>0</v>
      </c>
      <c r="E14" s="13">
        <v>24070</v>
      </c>
      <c r="F14" s="14">
        <f t="shared" si="0"/>
        <v>24070</v>
      </c>
      <c r="G14" s="14">
        <f t="shared" si="1"/>
        <v>15833.333333333334</v>
      </c>
      <c r="H14" s="13">
        <v>143098.57999999999</v>
      </c>
      <c r="I14" s="14">
        <f t="shared" si="2"/>
        <v>95000</v>
      </c>
      <c r="J14" s="13">
        <v>190000</v>
      </c>
      <c r="K14" s="32">
        <f t="shared" si="3"/>
        <v>0.75315042105263152</v>
      </c>
    </row>
    <row r="15" spans="1:11" x14ac:dyDescent="0.2">
      <c r="A15" s="11" t="s">
        <v>8</v>
      </c>
      <c r="B15" s="13">
        <v>0</v>
      </c>
      <c r="C15" s="13">
        <v>0</v>
      </c>
      <c r="D15" s="13">
        <v>0</v>
      </c>
      <c r="E15" s="13">
        <v>583</v>
      </c>
      <c r="F15" s="14">
        <f t="shared" si="0"/>
        <v>583</v>
      </c>
      <c r="G15" s="14">
        <f t="shared" si="1"/>
        <v>625</v>
      </c>
      <c r="H15" s="13">
        <v>2148.65</v>
      </c>
      <c r="I15" s="14">
        <f t="shared" si="2"/>
        <v>3750</v>
      </c>
      <c r="J15" s="13">
        <v>7500</v>
      </c>
      <c r="K15" s="32">
        <f t="shared" si="3"/>
        <v>0.28648666666666667</v>
      </c>
    </row>
    <row r="16" spans="1:11" x14ac:dyDescent="0.2">
      <c r="A16" s="11" t="s">
        <v>9</v>
      </c>
      <c r="B16" s="13">
        <v>0</v>
      </c>
      <c r="C16" s="13">
        <v>2778.96</v>
      </c>
      <c r="D16" s="13">
        <v>0</v>
      </c>
      <c r="E16" s="13">
        <v>0</v>
      </c>
      <c r="F16" s="14">
        <f t="shared" si="0"/>
        <v>2778.96</v>
      </c>
      <c r="G16" s="14">
        <f t="shared" si="1"/>
        <v>4166.666666666667</v>
      </c>
      <c r="H16" s="13">
        <v>20178.259999999998</v>
      </c>
      <c r="I16" s="14">
        <f t="shared" si="2"/>
        <v>25000</v>
      </c>
      <c r="J16" s="13">
        <v>50000</v>
      </c>
      <c r="K16" s="32">
        <f t="shared" si="3"/>
        <v>0.40356519999999996</v>
      </c>
    </row>
    <row r="17" spans="1:12" x14ac:dyDescent="0.2">
      <c r="A17" s="11" t="s">
        <v>10</v>
      </c>
      <c r="B17" s="13">
        <v>0</v>
      </c>
      <c r="C17" s="13">
        <v>53453.65</v>
      </c>
      <c r="D17" s="13">
        <v>0</v>
      </c>
      <c r="E17" s="13">
        <v>0</v>
      </c>
      <c r="F17" s="14">
        <f t="shared" si="0"/>
        <v>53453.65</v>
      </c>
      <c r="G17" s="14">
        <f t="shared" si="1"/>
        <v>48666.666666666664</v>
      </c>
      <c r="H17" s="13">
        <v>301042.86</v>
      </c>
      <c r="I17" s="14">
        <f t="shared" si="2"/>
        <v>292000</v>
      </c>
      <c r="J17" s="13">
        <v>584000</v>
      </c>
      <c r="K17" s="32">
        <f t="shared" si="3"/>
        <v>0.51548434931506848</v>
      </c>
    </row>
    <row r="18" spans="1:12" x14ac:dyDescent="0.2">
      <c r="A18" s="11" t="s">
        <v>11</v>
      </c>
      <c r="B18" s="13">
        <v>0</v>
      </c>
      <c r="C18" s="13">
        <v>0</v>
      </c>
      <c r="D18" s="13">
        <v>0</v>
      </c>
      <c r="E18" s="13">
        <v>10543.34</v>
      </c>
      <c r="F18" s="14">
        <f t="shared" si="0"/>
        <v>10543.34</v>
      </c>
      <c r="G18" s="14">
        <f t="shared" si="1"/>
        <v>4583.333333333333</v>
      </c>
      <c r="H18" s="13">
        <v>59995.56</v>
      </c>
      <c r="I18" s="14">
        <f t="shared" si="2"/>
        <v>27500</v>
      </c>
      <c r="J18" s="13">
        <v>55000</v>
      </c>
      <c r="K18" s="33">
        <f t="shared" si="3"/>
        <v>1.0908283636363636</v>
      </c>
    </row>
    <row r="19" spans="1:12" x14ac:dyDescent="0.2">
      <c r="A19" s="11" t="s">
        <v>12</v>
      </c>
      <c r="B19" s="43">
        <f t="shared" ref="B19:J19" si="5">SUM(B7:B18)</f>
        <v>0</v>
      </c>
      <c r="C19" s="43">
        <f t="shared" si="5"/>
        <v>225763.12</v>
      </c>
      <c r="D19" s="44">
        <f t="shared" si="5"/>
        <v>145672.88999999998</v>
      </c>
      <c r="E19" s="44">
        <f t="shared" si="5"/>
        <v>35196.339999999997</v>
      </c>
      <c r="F19" s="43">
        <f t="shared" si="5"/>
        <v>406632.35000000003</v>
      </c>
      <c r="G19" s="43">
        <f t="shared" si="5"/>
        <v>363791.66666666674</v>
      </c>
      <c r="H19" s="44">
        <f t="shared" si="5"/>
        <v>2301881.63</v>
      </c>
      <c r="I19" s="43">
        <f>SUM(I7:I18)</f>
        <v>2182750</v>
      </c>
      <c r="J19" s="44">
        <f t="shared" si="5"/>
        <v>4365500</v>
      </c>
      <c r="K19" s="37">
        <f t="shared" si="3"/>
        <v>0.52728934371778713</v>
      </c>
      <c r="L19" s="2"/>
    </row>
    <row r="20" spans="1:12" x14ac:dyDescent="0.2">
      <c r="A20" s="11"/>
    </row>
    <row r="21" spans="1:12" x14ac:dyDescent="0.2">
      <c r="B21" s="42" t="s">
        <v>57</v>
      </c>
      <c r="C21" s="45" t="s">
        <v>58</v>
      </c>
      <c r="D21" s="41" t="s">
        <v>59</v>
      </c>
      <c r="E21" s="41" t="s">
        <v>93</v>
      </c>
      <c r="F21" s="42" t="s">
        <v>60</v>
      </c>
      <c r="G21" s="42" t="s">
        <v>61</v>
      </c>
      <c r="H21" s="41" t="s">
        <v>62</v>
      </c>
      <c r="I21" s="42" t="s">
        <v>62</v>
      </c>
      <c r="J21" s="41" t="s">
        <v>63</v>
      </c>
      <c r="K21" s="16">
        <f>+K4</f>
        <v>0.5</v>
      </c>
    </row>
    <row r="22" spans="1:12" x14ac:dyDescent="0.2">
      <c r="A22" s="11"/>
      <c r="B22" s="42"/>
      <c r="C22" s="45"/>
      <c r="D22" s="41"/>
      <c r="E22" s="41"/>
      <c r="F22" s="42" t="s">
        <v>68</v>
      </c>
      <c r="G22" s="42" t="s">
        <v>65</v>
      </c>
      <c r="H22" s="41" t="s">
        <v>68</v>
      </c>
      <c r="I22" s="42" t="s">
        <v>67</v>
      </c>
      <c r="J22" s="41" t="s">
        <v>67</v>
      </c>
      <c r="K22" s="17" t="s">
        <v>65</v>
      </c>
    </row>
    <row r="23" spans="1:12" x14ac:dyDescent="0.2">
      <c r="A23" s="11" t="s">
        <v>13</v>
      </c>
      <c r="B23" s="42"/>
      <c r="C23" s="45"/>
      <c r="D23" s="41"/>
      <c r="E23" s="41"/>
      <c r="F23" s="42"/>
      <c r="G23" s="42"/>
      <c r="H23" s="41"/>
      <c r="I23" s="42"/>
      <c r="J23" s="41"/>
      <c r="K23" s="17" t="s">
        <v>75</v>
      </c>
    </row>
    <row r="24" spans="1:12" x14ac:dyDescent="0.2">
      <c r="A24" s="11" t="s">
        <v>14</v>
      </c>
      <c r="B24" s="13">
        <v>28307.9</v>
      </c>
      <c r="C24" s="13">
        <v>37346.36</v>
      </c>
      <c r="D24" s="13">
        <v>15182</v>
      </c>
      <c r="E24" s="13">
        <v>2081.69</v>
      </c>
      <c r="F24" s="14">
        <f t="shared" ref="F24:F36" si="6">SUM(B24:E24)</f>
        <v>82917.950000000012</v>
      </c>
      <c r="G24" s="14">
        <f t="shared" ref="G24:G36" si="7">J24/12</f>
        <v>84166.666666666672</v>
      </c>
      <c r="H24" s="13">
        <v>622746.65</v>
      </c>
      <c r="I24" s="14">
        <f t="shared" ref="I24:I36" si="8">G24*6</f>
        <v>505000</v>
      </c>
      <c r="J24" s="13">
        <v>1010000</v>
      </c>
      <c r="K24" s="34">
        <f t="shared" ref="K24:K36" si="9">+H24/J24</f>
        <v>0.61658084158415849</v>
      </c>
    </row>
    <row r="25" spans="1:12" x14ac:dyDescent="0.2">
      <c r="A25" s="11" t="s">
        <v>15</v>
      </c>
      <c r="B25" s="13">
        <v>2273.42</v>
      </c>
      <c r="C25" s="13">
        <v>3355.92</v>
      </c>
      <c r="D25" s="13">
        <v>1228.69</v>
      </c>
      <c r="E25" s="13">
        <v>350.68</v>
      </c>
      <c r="F25" s="14">
        <f t="shared" si="6"/>
        <v>7208.7100000000009</v>
      </c>
      <c r="G25" s="14">
        <f t="shared" si="7"/>
        <v>6666.666666666667</v>
      </c>
      <c r="H25" s="13">
        <v>52023.55</v>
      </c>
      <c r="I25" s="14">
        <f t="shared" si="8"/>
        <v>40000</v>
      </c>
      <c r="J25" s="13">
        <v>80000</v>
      </c>
      <c r="K25" s="34">
        <f t="shared" si="9"/>
        <v>0.65029437500000009</v>
      </c>
    </row>
    <row r="26" spans="1:12" x14ac:dyDescent="0.2">
      <c r="A26" s="11" t="s">
        <v>16</v>
      </c>
      <c r="B26" s="13">
        <v>0</v>
      </c>
      <c r="C26" s="13">
        <v>0</v>
      </c>
      <c r="D26" s="13">
        <v>0</v>
      </c>
      <c r="E26" s="13">
        <v>0</v>
      </c>
      <c r="F26" s="14">
        <f t="shared" si="6"/>
        <v>0</v>
      </c>
      <c r="G26" s="14">
        <f t="shared" si="7"/>
        <v>625</v>
      </c>
      <c r="H26" s="13">
        <f t="shared" ref="H26:H35" si="10">F26</f>
        <v>0</v>
      </c>
      <c r="I26" s="14">
        <f t="shared" si="8"/>
        <v>3750</v>
      </c>
      <c r="J26" s="13">
        <v>7500</v>
      </c>
      <c r="K26" s="34">
        <f t="shared" si="9"/>
        <v>0</v>
      </c>
    </row>
    <row r="27" spans="1:12" x14ac:dyDescent="0.2">
      <c r="A27" s="11" t="s">
        <v>17</v>
      </c>
      <c r="B27" s="13">
        <v>1740.4</v>
      </c>
      <c r="C27" s="13">
        <v>677.88</v>
      </c>
      <c r="D27" s="13">
        <v>1005.8</v>
      </c>
      <c r="E27" s="13">
        <v>20.440000000000001</v>
      </c>
      <c r="F27" s="14">
        <f t="shared" si="6"/>
        <v>3444.52</v>
      </c>
      <c r="G27" s="14">
        <f t="shared" si="7"/>
        <v>3600</v>
      </c>
      <c r="H27" s="13">
        <v>22089.72</v>
      </c>
      <c r="I27" s="14">
        <f t="shared" si="8"/>
        <v>21600</v>
      </c>
      <c r="J27" s="13">
        <v>43200</v>
      </c>
      <c r="K27" s="34">
        <f t="shared" si="9"/>
        <v>0.5113361111111111</v>
      </c>
    </row>
    <row r="28" spans="1:12" x14ac:dyDescent="0.2">
      <c r="A28" s="11" t="s">
        <v>18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8750</v>
      </c>
      <c r="H28" s="13">
        <v>105312.99</v>
      </c>
      <c r="I28" s="14">
        <f t="shared" si="8"/>
        <v>52500</v>
      </c>
      <c r="J28" s="13">
        <v>105000</v>
      </c>
      <c r="K28" s="34">
        <f t="shared" si="9"/>
        <v>1.0029808571428571</v>
      </c>
    </row>
    <row r="29" spans="1:12" x14ac:dyDescent="0.2">
      <c r="A29" s="11" t="s">
        <v>19</v>
      </c>
      <c r="B29" s="13">
        <v>0</v>
      </c>
      <c r="C29" s="13">
        <v>0</v>
      </c>
      <c r="D29" s="13">
        <v>0</v>
      </c>
      <c r="E29" s="13">
        <v>0</v>
      </c>
      <c r="F29" s="14">
        <f t="shared" si="6"/>
        <v>0</v>
      </c>
      <c r="G29" s="14">
        <f t="shared" si="7"/>
        <v>833.33333333333337</v>
      </c>
      <c r="H29" s="13">
        <f t="shared" si="10"/>
        <v>0</v>
      </c>
      <c r="I29" s="14">
        <f t="shared" si="8"/>
        <v>5000</v>
      </c>
      <c r="J29" s="13">
        <f>10000</f>
        <v>10000</v>
      </c>
      <c r="K29" s="34">
        <f t="shared" si="9"/>
        <v>0</v>
      </c>
    </row>
    <row r="30" spans="1:12" x14ac:dyDescent="0.2">
      <c r="A30" s="11" t="s">
        <v>20</v>
      </c>
      <c r="B30" s="13">
        <v>0</v>
      </c>
      <c r="C30" s="13">
        <v>0</v>
      </c>
      <c r="D30" s="13">
        <v>0</v>
      </c>
      <c r="E30" s="13">
        <v>0</v>
      </c>
      <c r="F30" s="14">
        <f t="shared" si="6"/>
        <v>0</v>
      </c>
      <c r="G30" s="14">
        <f t="shared" si="7"/>
        <v>2083.3333333333335</v>
      </c>
      <c r="H30" s="13">
        <v>14175</v>
      </c>
      <c r="I30" s="14">
        <f t="shared" si="8"/>
        <v>12500</v>
      </c>
      <c r="J30" s="13">
        <v>25000</v>
      </c>
      <c r="K30" s="34">
        <f t="shared" si="9"/>
        <v>0.56699999999999995</v>
      </c>
    </row>
    <row r="31" spans="1:12" x14ac:dyDescent="0.2">
      <c r="A31" s="11" t="s">
        <v>21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1750</v>
      </c>
      <c r="H31" s="13">
        <v>5840.44</v>
      </c>
      <c r="I31" s="14">
        <f t="shared" si="8"/>
        <v>10500</v>
      </c>
      <c r="J31" s="13">
        <v>21000</v>
      </c>
      <c r="K31" s="34">
        <f t="shared" si="9"/>
        <v>0.27811619047619046</v>
      </c>
    </row>
    <row r="32" spans="1:12" x14ac:dyDescent="0.2">
      <c r="A32" s="11" t="s">
        <v>22</v>
      </c>
      <c r="B32" s="13">
        <v>0</v>
      </c>
      <c r="C32" s="13">
        <v>1294.28</v>
      </c>
      <c r="D32" s="13">
        <v>1027.9000000000001</v>
      </c>
      <c r="E32" s="13">
        <v>0</v>
      </c>
      <c r="F32" s="14">
        <f t="shared" si="6"/>
        <v>2322.1800000000003</v>
      </c>
      <c r="G32" s="14">
        <f t="shared" si="7"/>
        <v>2666.6666666666665</v>
      </c>
      <c r="H32" s="13">
        <v>9918.51</v>
      </c>
      <c r="I32" s="14">
        <f t="shared" si="8"/>
        <v>16000</v>
      </c>
      <c r="J32" s="13">
        <v>32000</v>
      </c>
      <c r="K32" s="34">
        <f t="shared" si="9"/>
        <v>0.30995343749999998</v>
      </c>
    </row>
    <row r="33" spans="1:20" x14ac:dyDescent="0.2">
      <c r="A33" s="11" t="s">
        <v>23</v>
      </c>
      <c r="B33" s="13">
        <v>69.599999999999994</v>
      </c>
      <c r="C33" s="13">
        <v>3879.74</v>
      </c>
      <c r="D33" s="13">
        <v>3836.65</v>
      </c>
      <c r="E33" s="13">
        <v>0</v>
      </c>
      <c r="F33" s="14">
        <f t="shared" si="6"/>
        <v>7785.99</v>
      </c>
      <c r="G33" s="14">
        <f t="shared" si="7"/>
        <v>10833.333333333334</v>
      </c>
      <c r="H33" s="13">
        <v>52132.99</v>
      </c>
      <c r="I33" s="14">
        <f t="shared" si="8"/>
        <v>65000</v>
      </c>
      <c r="J33" s="13">
        <v>130000</v>
      </c>
      <c r="K33" s="34">
        <f t="shared" si="9"/>
        <v>0.40102299999999996</v>
      </c>
    </row>
    <row r="34" spans="1:20" x14ac:dyDescent="0.2">
      <c r="A34" s="11" t="s">
        <v>24</v>
      </c>
      <c r="B34" s="13">
        <v>0</v>
      </c>
      <c r="C34" s="13">
        <v>0</v>
      </c>
      <c r="D34" s="13">
        <v>0</v>
      </c>
      <c r="E34" s="13">
        <v>0</v>
      </c>
      <c r="F34" s="14">
        <f t="shared" si="6"/>
        <v>0</v>
      </c>
      <c r="G34" s="14">
        <f t="shared" si="7"/>
        <v>1666.6666666666667</v>
      </c>
      <c r="H34" s="13">
        <v>428.19</v>
      </c>
      <c r="I34" s="14">
        <f t="shared" si="8"/>
        <v>10000</v>
      </c>
      <c r="J34" s="13">
        <v>20000</v>
      </c>
      <c r="K34" s="34">
        <f t="shared" si="9"/>
        <v>2.1409500000000001E-2</v>
      </c>
    </row>
    <row r="35" spans="1:20" x14ac:dyDescent="0.2">
      <c r="A35" s="11" t="s">
        <v>25</v>
      </c>
      <c r="B35" s="13">
        <v>0</v>
      </c>
      <c r="C35" s="13">
        <v>0</v>
      </c>
      <c r="D35" s="13">
        <v>0</v>
      </c>
      <c r="E35" s="13">
        <v>0</v>
      </c>
      <c r="F35" s="14">
        <f t="shared" si="6"/>
        <v>0</v>
      </c>
      <c r="G35" s="14">
        <f t="shared" si="7"/>
        <v>250</v>
      </c>
      <c r="H35" s="13">
        <f t="shared" si="10"/>
        <v>0</v>
      </c>
      <c r="I35" s="14">
        <f t="shared" si="8"/>
        <v>1500</v>
      </c>
      <c r="J35" s="13">
        <f>1500+1500</f>
        <v>3000</v>
      </c>
      <c r="K35" s="34">
        <f t="shared" si="9"/>
        <v>0</v>
      </c>
    </row>
    <row r="36" spans="1:20" x14ac:dyDescent="0.2">
      <c r="A36" s="11" t="s">
        <v>26</v>
      </c>
      <c r="B36" s="13">
        <v>0</v>
      </c>
      <c r="C36" s="13">
        <v>0</v>
      </c>
      <c r="D36" s="13">
        <v>0</v>
      </c>
      <c r="E36" s="13">
        <v>0</v>
      </c>
      <c r="F36" s="14">
        <f t="shared" si="6"/>
        <v>0</v>
      </c>
      <c r="G36" s="14">
        <f t="shared" si="7"/>
        <v>30833.333333333332</v>
      </c>
      <c r="H36" s="13">
        <v>109819</v>
      </c>
      <c r="I36" s="14">
        <f t="shared" si="8"/>
        <v>185000</v>
      </c>
      <c r="J36" s="13">
        <v>370000</v>
      </c>
      <c r="K36" s="34">
        <f t="shared" si="9"/>
        <v>0.29680810810810809</v>
      </c>
    </row>
    <row r="37" spans="1:20" x14ac:dyDescent="0.2">
      <c r="A37" s="11"/>
      <c r="B37" s="14"/>
      <c r="C37" s="13"/>
      <c r="D37" s="13"/>
      <c r="E37" s="13"/>
      <c r="F37" s="14"/>
      <c r="G37" s="14"/>
      <c r="H37" s="13"/>
      <c r="I37" s="14"/>
      <c r="J37" s="13"/>
    </row>
    <row r="38" spans="1:20" x14ac:dyDescent="0.2">
      <c r="A38" s="11"/>
      <c r="B38" s="2"/>
      <c r="C38" s="6"/>
      <c r="D38" s="6"/>
      <c r="E38" s="6"/>
      <c r="F38" s="2"/>
      <c r="G38" s="2"/>
      <c r="H38" s="6"/>
      <c r="I38" s="2"/>
      <c r="J38" s="6"/>
    </row>
    <row r="39" spans="1:20" x14ac:dyDescent="0.2">
      <c r="A39" s="11"/>
      <c r="B39" s="1"/>
      <c r="C39" s="7"/>
      <c r="D39" s="8"/>
      <c r="E39" s="8"/>
      <c r="F39" s="1"/>
      <c r="G39" s="1"/>
      <c r="H39" s="8"/>
      <c r="I39" s="1"/>
      <c r="J39" s="8"/>
      <c r="L39" s="1"/>
      <c r="M39" s="1"/>
      <c r="O39" s="1"/>
      <c r="P39" s="1"/>
      <c r="Q39" s="1"/>
      <c r="R39" s="1"/>
      <c r="S39" s="1"/>
      <c r="T39" s="1"/>
    </row>
    <row r="40" spans="1:20" x14ac:dyDescent="0.2">
      <c r="A40" s="11"/>
      <c r="B40" s="2"/>
      <c r="C40" s="6"/>
      <c r="D40" s="6"/>
      <c r="E40" s="6"/>
      <c r="F40" s="2"/>
      <c r="G40" s="2"/>
      <c r="H40" s="6"/>
      <c r="I40" s="2"/>
      <c r="J40" s="6"/>
      <c r="L40" s="1"/>
      <c r="M40" s="2"/>
      <c r="N40" s="2"/>
      <c r="O40" s="2"/>
      <c r="P40" s="2"/>
      <c r="Q40" s="2"/>
      <c r="R40" s="2"/>
      <c r="S40" s="2"/>
      <c r="T40" s="2"/>
    </row>
    <row r="41" spans="1:20" x14ac:dyDescent="0.2">
      <c r="B41" s="42" t="s">
        <v>57</v>
      </c>
      <c r="C41" s="46" t="s">
        <v>58</v>
      </c>
      <c r="D41" s="41" t="s">
        <v>59</v>
      </c>
      <c r="E41" s="41" t="s">
        <v>93</v>
      </c>
      <c r="F41" s="42" t="s">
        <v>60</v>
      </c>
      <c r="G41" s="42" t="s">
        <v>61</v>
      </c>
      <c r="H41" s="41" t="s">
        <v>62</v>
      </c>
      <c r="I41" s="42" t="s">
        <v>62</v>
      </c>
      <c r="J41" s="41" t="s">
        <v>63</v>
      </c>
      <c r="K41" s="16">
        <f>+K4</f>
        <v>0.5</v>
      </c>
      <c r="L41" s="1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11"/>
      <c r="B42" s="42"/>
      <c r="C42" s="46"/>
      <c r="D42" s="41"/>
      <c r="E42" s="41"/>
      <c r="F42" s="42" t="s">
        <v>68</v>
      </c>
      <c r="G42" s="42" t="s">
        <v>65</v>
      </c>
      <c r="H42" s="41" t="s">
        <v>68</v>
      </c>
      <c r="I42" s="42" t="s">
        <v>67</v>
      </c>
      <c r="J42" s="41" t="s">
        <v>67</v>
      </c>
      <c r="K42" s="17" t="s">
        <v>65</v>
      </c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42"/>
      <c r="C43" s="46"/>
      <c r="D43" s="41"/>
      <c r="E43" s="41"/>
      <c r="F43" s="42"/>
      <c r="G43" s="42"/>
      <c r="H43" s="41"/>
      <c r="I43" s="42"/>
      <c r="J43" s="41"/>
      <c r="K43" s="17" t="s">
        <v>75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 t="s">
        <v>27</v>
      </c>
      <c r="B44" s="6">
        <v>4712.3100000000004</v>
      </c>
      <c r="C44" s="6">
        <v>7547.81</v>
      </c>
      <c r="D44" s="6">
        <v>4036.01</v>
      </c>
      <c r="E44" s="6">
        <v>236.4</v>
      </c>
      <c r="F44" s="14">
        <f t="shared" ref="F44:F70" si="11">SUM(B44:E44)</f>
        <v>16532.530000000002</v>
      </c>
      <c r="G44" s="2">
        <f t="shared" ref="G44:G46" si="12">J44/12</f>
        <v>16500</v>
      </c>
      <c r="H44" s="6">
        <v>102451.13</v>
      </c>
      <c r="I44" s="14">
        <f t="shared" ref="I44:I70" si="13">G44*6</f>
        <v>99000</v>
      </c>
      <c r="J44" s="6">
        <v>198000</v>
      </c>
      <c r="K44" s="34">
        <f t="shared" ref="K44:K71" si="14">+H44/J44</f>
        <v>0.51742994949494947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 t="s">
        <v>28</v>
      </c>
      <c r="B45" s="13">
        <v>0</v>
      </c>
      <c r="C45" s="13">
        <v>0</v>
      </c>
      <c r="D45" s="13">
        <v>0</v>
      </c>
      <c r="E45" s="13">
        <v>0</v>
      </c>
      <c r="F45" s="14">
        <f t="shared" si="11"/>
        <v>0</v>
      </c>
      <c r="G45" s="14">
        <f t="shared" si="12"/>
        <v>25520.833333333332</v>
      </c>
      <c r="H45" s="13">
        <v>293204</v>
      </c>
      <c r="I45" s="14">
        <f t="shared" si="13"/>
        <v>153125</v>
      </c>
      <c r="J45" s="13">
        <v>306250</v>
      </c>
      <c r="K45" s="34">
        <f t="shared" si="14"/>
        <v>0.95740081632653062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29</v>
      </c>
      <c r="B46" s="13">
        <v>0</v>
      </c>
      <c r="C46" s="13">
        <v>0</v>
      </c>
      <c r="D46" s="13">
        <v>0</v>
      </c>
      <c r="E46" s="13">
        <v>0</v>
      </c>
      <c r="F46" s="14">
        <f t="shared" si="11"/>
        <v>0</v>
      </c>
      <c r="G46" s="14">
        <f t="shared" si="12"/>
        <v>416.66666666666669</v>
      </c>
      <c r="H46" s="13">
        <v>1236.0899999999999</v>
      </c>
      <c r="I46" s="14">
        <f t="shared" si="13"/>
        <v>2500</v>
      </c>
      <c r="J46" s="13">
        <f>2500+2500</f>
        <v>5000</v>
      </c>
      <c r="K46" s="34">
        <f t="shared" si="14"/>
        <v>0.24721799999999999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30</v>
      </c>
      <c r="B47" s="13">
        <v>0</v>
      </c>
      <c r="C47" s="13">
        <v>2032.46</v>
      </c>
      <c r="D47" s="13">
        <v>2032.48</v>
      </c>
      <c r="E47" s="13">
        <v>0</v>
      </c>
      <c r="F47" s="14">
        <f t="shared" si="11"/>
        <v>4064.94</v>
      </c>
      <c r="G47" s="14">
        <f>J47/12</f>
        <v>1333.3333333333333</v>
      </c>
      <c r="H47" s="13">
        <v>10713.02</v>
      </c>
      <c r="I47" s="14">
        <f t="shared" si="13"/>
        <v>8000</v>
      </c>
      <c r="J47" s="13">
        <f>8000+8000</f>
        <v>16000</v>
      </c>
      <c r="K47" s="34">
        <f t="shared" si="14"/>
        <v>0.66956375000000001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32</v>
      </c>
      <c r="B48" s="13">
        <v>0</v>
      </c>
      <c r="C48" s="13">
        <v>0</v>
      </c>
      <c r="D48" s="13">
        <v>0</v>
      </c>
      <c r="E48" s="13">
        <v>0</v>
      </c>
      <c r="F48" s="14">
        <f t="shared" si="11"/>
        <v>0</v>
      </c>
      <c r="G48" s="14">
        <f t="shared" ref="G48:G70" si="15">J48/12</f>
        <v>6500</v>
      </c>
      <c r="H48" s="13">
        <v>0</v>
      </c>
      <c r="I48" s="14">
        <f t="shared" si="13"/>
        <v>39000</v>
      </c>
      <c r="J48" s="13">
        <v>78000</v>
      </c>
      <c r="K48" s="34">
        <f t="shared" si="14"/>
        <v>0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33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 t="shared" si="15"/>
        <v>750</v>
      </c>
      <c r="H49" s="13">
        <v>1644.61</v>
      </c>
      <c r="I49" s="14">
        <f t="shared" si="13"/>
        <v>4500</v>
      </c>
      <c r="J49" s="13">
        <v>9000</v>
      </c>
      <c r="K49" s="34">
        <f t="shared" si="14"/>
        <v>0.18273444444444442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34</v>
      </c>
      <c r="B50" s="13">
        <v>0</v>
      </c>
      <c r="C50" s="13">
        <v>295.86</v>
      </c>
      <c r="D50" s="13">
        <v>1.63</v>
      </c>
      <c r="E50" s="13">
        <v>0</v>
      </c>
      <c r="F50" s="14">
        <f t="shared" si="11"/>
        <v>297.49</v>
      </c>
      <c r="G50" s="14">
        <f t="shared" si="15"/>
        <v>1250</v>
      </c>
      <c r="H50" s="13">
        <v>7306.12</v>
      </c>
      <c r="I50" s="14">
        <f t="shared" si="13"/>
        <v>7500</v>
      </c>
      <c r="J50" s="13">
        <v>15000</v>
      </c>
      <c r="K50" s="34">
        <f t="shared" si="14"/>
        <v>0.48707466666666666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35</v>
      </c>
      <c r="B51" s="13">
        <v>0</v>
      </c>
      <c r="C51" s="13">
        <v>1169.51</v>
      </c>
      <c r="D51" s="13">
        <v>2744.44</v>
      </c>
      <c r="E51" s="13">
        <v>0</v>
      </c>
      <c r="F51" s="14">
        <f t="shared" si="11"/>
        <v>3913.95</v>
      </c>
      <c r="G51" s="14">
        <f t="shared" si="15"/>
        <v>13750</v>
      </c>
      <c r="H51" s="13">
        <v>43964.23</v>
      </c>
      <c r="I51" s="14">
        <f t="shared" si="13"/>
        <v>82500</v>
      </c>
      <c r="J51" s="13">
        <v>165000</v>
      </c>
      <c r="K51" s="34">
        <f t="shared" si="14"/>
        <v>0.26644987878787879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36</v>
      </c>
      <c r="B52" s="13">
        <v>0</v>
      </c>
      <c r="C52" s="13">
        <v>120556.76</v>
      </c>
      <c r="D52" s="13">
        <v>0</v>
      </c>
      <c r="E52" s="13">
        <v>0</v>
      </c>
      <c r="F52" s="14">
        <f t="shared" si="11"/>
        <v>120556.76</v>
      </c>
      <c r="G52" s="14">
        <f t="shared" si="15"/>
        <v>91666.666666666672</v>
      </c>
      <c r="H52" s="13">
        <v>576533.28</v>
      </c>
      <c r="I52" s="14">
        <f t="shared" si="13"/>
        <v>550000</v>
      </c>
      <c r="J52" s="13">
        <v>1100000</v>
      </c>
      <c r="K52" s="34">
        <f t="shared" si="14"/>
        <v>0.52412116363636363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37</v>
      </c>
      <c r="B53" s="13">
        <v>0</v>
      </c>
      <c r="C53" s="13">
        <v>0</v>
      </c>
      <c r="D53" s="13">
        <v>0</v>
      </c>
      <c r="E53" s="13">
        <v>0</v>
      </c>
      <c r="F53" s="14">
        <f t="shared" si="11"/>
        <v>0</v>
      </c>
      <c r="G53" s="14">
        <f t="shared" si="15"/>
        <v>875</v>
      </c>
      <c r="H53" s="13">
        <v>2305.89</v>
      </c>
      <c r="I53" s="14">
        <f t="shared" si="13"/>
        <v>5250</v>
      </c>
      <c r="J53" s="13">
        <v>10500</v>
      </c>
      <c r="K53" s="34">
        <f t="shared" si="14"/>
        <v>0.2196085714285714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38</v>
      </c>
      <c r="B54" s="13">
        <v>0</v>
      </c>
      <c r="C54" s="13">
        <v>0</v>
      </c>
      <c r="D54" s="13">
        <v>0</v>
      </c>
      <c r="E54" s="13">
        <v>8975.75</v>
      </c>
      <c r="F54" s="14">
        <f t="shared" si="11"/>
        <v>8975.75</v>
      </c>
      <c r="G54" s="14">
        <f t="shared" si="15"/>
        <v>3333.3333333333335</v>
      </c>
      <c r="H54" s="13">
        <v>40894</v>
      </c>
      <c r="I54" s="14">
        <f t="shared" si="13"/>
        <v>20000</v>
      </c>
      <c r="J54" s="13">
        <v>40000</v>
      </c>
      <c r="K54" s="34">
        <f t="shared" si="14"/>
        <v>1.0223500000000001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39</v>
      </c>
      <c r="B55" s="13">
        <v>0</v>
      </c>
      <c r="C55" s="13">
        <v>0</v>
      </c>
      <c r="D55" s="13">
        <v>0</v>
      </c>
      <c r="E55" s="13">
        <v>632.09</v>
      </c>
      <c r="F55" s="14">
        <f t="shared" si="11"/>
        <v>632.09</v>
      </c>
      <c r="G55" s="14">
        <f t="shared" si="15"/>
        <v>625</v>
      </c>
      <c r="H55" s="13">
        <v>2523.1799999999998</v>
      </c>
      <c r="I55" s="14">
        <f t="shared" si="13"/>
        <v>3750</v>
      </c>
      <c r="J55" s="13">
        <v>7500</v>
      </c>
      <c r="K55" s="34">
        <f t="shared" si="14"/>
        <v>0.336424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40</v>
      </c>
      <c r="B56" s="13">
        <v>0</v>
      </c>
      <c r="C56" s="13">
        <v>1178.3599999999999</v>
      </c>
      <c r="D56" s="13">
        <v>38.04</v>
      </c>
      <c r="E56" s="13">
        <v>0</v>
      </c>
      <c r="F56" s="14">
        <f t="shared" si="11"/>
        <v>1216.3999999999999</v>
      </c>
      <c r="G56" s="14">
        <f t="shared" si="15"/>
        <v>875</v>
      </c>
      <c r="H56" s="13">
        <v>3257.39</v>
      </c>
      <c r="I56" s="14">
        <f t="shared" si="13"/>
        <v>5250</v>
      </c>
      <c r="J56" s="13">
        <v>10500</v>
      </c>
      <c r="K56" s="34">
        <f t="shared" si="14"/>
        <v>0.31022761904761903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41</v>
      </c>
      <c r="B57" s="13">
        <v>389.2</v>
      </c>
      <c r="C57" s="13">
        <v>1693.95</v>
      </c>
      <c r="D57" s="13">
        <v>0</v>
      </c>
      <c r="E57" s="13">
        <v>0</v>
      </c>
      <c r="F57" s="14">
        <f t="shared" si="11"/>
        <v>2083.15</v>
      </c>
      <c r="G57" s="14">
        <f t="shared" si="15"/>
        <v>2500</v>
      </c>
      <c r="H57" s="13">
        <v>25628.35</v>
      </c>
      <c r="I57" s="14">
        <f t="shared" si="13"/>
        <v>15000</v>
      </c>
      <c r="J57" s="13">
        <v>30000</v>
      </c>
      <c r="K57" s="34">
        <f t="shared" si="14"/>
        <v>0.85427833333333325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42</v>
      </c>
      <c r="B58" s="13">
        <v>0</v>
      </c>
      <c r="C58" s="13">
        <v>0</v>
      </c>
      <c r="D58" s="13">
        <v>0</v>
      </c>
      <c r="E58" s="13">
        <v>307.74</v>
      </c>
      <c r="F58" s="14">
        <f t="shared" si="11"/>
        <v>307.74</v>
      </c>
      <c r="G58" s="14">
        <f t="shared" si="15"/>
        <v>13333.333333333334</v>
      </c>
      <c r="H58" s="13">
        <v>38845.97</v>
      </c>
      <c r="I58" s="14">
        <f t="shared" si="13"/>
        <v>80000</v>
      </c>
      <c r="J58" s="13">
        <v>160000</v>
      </c>
      <c r="K58" s="34">
        <f t="shared" si="14"/>
        <v>0.24278731250000002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43</v>
      </c>
      <c r="B59" s="13">
        <v>0</v>
      </c>
      <c r="C59" s="13">
        <v>0</v>
      </c>
      <c r="D59" s="13">
        <v>0</v>
      </c>
      <c r="E59" s="13">
        <v>4543.28</v>
      </c>
      <c r="F59" s="14">
        <f t="shared" si="11"/>
        <v>4543.28</v>
      </c>
      <c r="G59" s="14">
        <f t="shared" si="15"/>
        <v>3333.3333333333335</v>
      </c>
      <c r="H59" s="13">
        <v>25871.02</v>
      </c>
      <c r="I59" s="14">
        <f t="shared" si="13"/>
        <v>20000</v>
      </c>
      <c r="J59" s="13">
        <v>40000</v>
      </c>
      <c r="K59" s="34">
        <f t="shared" si="14"/>
        <v>0.64677550000000006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44</v>
      </c>
      <c r="B60" s="13">
        <v>0</v>
      </c>
      <c r="C60" s="13">
        <v>0</v>
      </c>
      <c r="D60" s="13">
        <v>0</v>
      </c>
      <c r="E60" s="13">
        <v>0</v>
      </c>
      <c r="F60" s="14">
        <f t="shared" si="11"/>
        <v>0</v>
      </c>
      <c r="G60" s="14">
        <f t="shared" si="15"/>
        <v>1583.3333333333333</v>
      </c>
      <c r="H60" s="13">
        <v>22802</v>
      </c>
      <c r="I60" s="14">
        <f t="shared" si="13"/>
        <v>9500</v>
      </c>
      <c r="J60" s="13">
        <v>19000</v>
      </c>
      <c r="K60" s="34">
        <f t="shared" si="14"/>
        <v>1.2001052631578948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45</v>
      </c>
      <c r="B61" s="13">
        <v>0</v>
      </c>
      <c r="C61" s="13">
        <v>740.8</v>
      </c>
      <c r="D61" s="13">
        <v>0</v>
      </c>
      <c r="E61" s="13">
        <v>0</v>
      </c>
      <c r="F61" s="14">
        <f t="shared" si="11"/>
        <v>740.8</v>
      </c>
      <c r="G61" s="14">
        <f t="shared" si="15"/>
        <v>1416.6666666666667</v>
      </c>
      <c r="H61" s="13">
        <v>10348.280000000001</v>
      </c>
      <c r="I61" s="14">
        <f t="shared" si="13"/>
        <v>8500</v>
      </c>
      <c r="J61" s="13">
        <v>17000</v>
      </c>
      <c r="K61" s="34">
        <f t="shared" si="14"/>
        <v>0.60872235294117649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46</v>
      </c>
      <c r="B62" s="13">
        <v>1776.66</v>
      </c>
      <c r="C62" s="13">
        <v>0</v>
      </c>
      <c r="D62" s="13">
        <v>0</v>
      </c>
      <c r="E62" s="13">
        <v>0</v>
      </c>
      <c r="F62" s="14">
        <f t="shared" si="11"/>
        <v>1776.66</v>
      </c>
      <c r="G62" s="14">
        <f t="shared" si="15"/>
        <v>1666.6666666666667</v>
      </c>
      <c r="H62" s="13">
        <v>10571.79</v>
      </c>
      <c r="I62" s="14">
        <f t="shared" si="13"/>
        <v>10000</v>
      </c>
      <c r="J62" s="13">
        <v>20000</v>
      </c>
      <c r="K62" s="34">
        <f t="shared" si="14"/>
        <v>0.52858950000000005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47</v>
      </c>
      <c r="B63" s="13">
        <v>11476.15</v>
      </c>
      <c r="C63" s="13">
        <v>0</v>
      </c>
      <c r="D63" s="13">
        <v>0</v>
      </c>
      <c r="E63" s="13">
        <v>0</v>
      </c>
      <c r="F63" s="14">
        <f t="shared" si="11"/>
        <v>11476.15</v>
      </c>
      <c r="G63" s="14">
        <f t="shared" si="15"/>
        <v>12541.666666666666</v>
      </c>
      <c r="H63" s="13">
        <v>75521.63</v>
      </c>
      <c r="I63" s="14">
        <f t="shared" si="13"/>
        <v>75250</v>
      </c>
      <c r="J63" s="13">
        <v>150500</v>
      </c>
      <c r="K63" s="34">
        <f t="shared" si="14"/>
        <v>0.50180485049833889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48</v>
      </c>
      <c r="B64" s="13">
        <v>125</v>
      </c>
      <c r="C64" s="13">
        <v>0</v>
      </c>
      <c r="D64" s="13">
        <v>0</v>
      </c>
      <c r="E64" s="13">
        <v>0</v>
      </c>
      <c r="F64" s="14">
        <f t="shared" si="11"/>
        <v>125</v>
      </c>
      <c r="G64" s="14">
        <f t="shared" si="15"/>
        <v>83.333333333333329</v>
      </c>
      <c r="H64" s="13">
        <v>240</v>
      </c>
      <c r="I64" s="14">
        <f t="shared" si="13"/>
        <v>500</v>
      </c>
      <c r="J64" s="13">
        <v>1000</v>
      </c>
      <c r="K64" s="34">
        <f t="shared" si="14"/>
        <v>0.24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49</v>
      </c>
      <c r="B65" s="13">
        <v>0</v>
      </c>
      <c r="C65" s="13">
        <v>219.79</v>
      </c>
      <c r="D65" s="13">
        <v>0</v>
      </c>
      <c r="E65" s="13">
        <v>0</v>
      </c>
      <c r="F65" s="14">
        <f t="shared" si="11"/>
        <v>219.79</v>
      </c>
      <c r="G65" s="14">
        <f t="shared" si="15"/>
        <v>208.33333333333334</v>
      </c>
      <c r="H65" s="13">
        <v>1109.18</v>
      </c>
      <c r="I65" s="14">
        <f t="shared" si="13"/>
        <v>1250</v>
      </c>
      <c r="J65" s="13">
        <v>2500</v>
      </c>
      <c r="K65" s="34">
        <f t="shared" si="14"/>
        <v>0.44367200000000001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50</v>
      </c>
      <c r="B66" s="13">
        <v>3400</v>
      </c>
      <c r="C66" s="13">
        <v>0</v>
      </c>
      <c r="D66" s="13">
        <v>0</v>
      </c>
      <c r="E66" s="13">
        <v>0</v>
      </c>
      <c r="F66" s="14">
        <f t="shared" si="11"/>
        <v>3400</v>
      </c>
      <c r="G66" s="14">
        <f t="shared" si="15"/>
        <v>2500</v>
      </c>
      <c r="H66" s="13">
        <v>17190.5</v>
      </c>
      <c r="I66" s="14">
        <f t="shared" si="13"/>
        <v>15000</v>
      </c>
      <c r="J66" s="13">
        <v>30000</v>
      </c>
      <c r="K66" s="34">
        <f t="shared" si="14"/>
        <v>0.57301666666666662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52</v>
      </c>
      <c r="B67" s="13">
        <v>0</v>
      </c>
      <c r="C67" s="13">
        <v>6250.99</v>
      </c>
      <c r="D67" s="13">
        <v>0</v>
      </c>
      <c r="E67" s="13">
        <v>0</v>
      </c>
      <c r="F67" s="14">
        <f t="shared" si="11"/>
        <v>6250.99</v>
      </c>
      <c r="G67" s="14">
        <f t="shared" si="15"/>
        <v>4000</v>
      </c>
      <c r="H67" s="13">
        <v>27388.41</v>
      </c>
      <c r="I67" s="14">
        <f t="shared" si="13"/>
        <v>24000</v>
      </c>
      <c r="J67" s="13">
        <v>48000</v>
      </c>
      <c r="K67" s="34">
        <f t="shared" si="14"/>
        <v>0.57059187499999997</v>
      </c>
      <c r="L67" s="1"/>
      <c r="M67" s="2"/>
      <c r="N67" s="2"/>
      <c r="O67" s="2"/>
      <c r="P67" s="3"/>
      <c r="R67" s="3"/>
    </row>
    <row r="68" spans="1:20" x14ac:dyDescent="0.2">
      <c r="A68" s="11" t="s">
        <v>53</v>
      </c>
      <c r="B68" s="13">
        <v>0</v>
      </c>
      <c r="C68" s="13">
        <v>254</v>
      </c>
      <c r="D68" s="13">
        <v>0</v>
      </c>
      <c r="E68" s="13">
        <v>0</v>
      </c>
      <c r="F68" s="14">
        <f t="shared" si="11"/>
        <v>254</v>
      </c>
      <c r="G68" s="14">
        <f t="shared" si="15"/>
        <v>833.33333333333337</v>
      </c>
      <c r="H68" s="13">
        <v>4622.66</v>
      </c>
      <c r="I68" s="14">
        <f t="shared" si="13"/>
        <v>5000</v>
      </c>
      <c r="J68" s="13">
        <v>10000</v>
      </c>
      <c r="K68" s="34">
        <f t="shared" si="14"/>
        <v>0.46226600000000001</v>
      </c>
    </row>
    <row r="69" spans="1:20" x14ac:dyDescent="0.2">
      <c r="A69" s="11" t="s">
        <v>54</v>
      </c>
      <c r="B69" s="13">
        <v>0</v>
      </c>
      <c r="C69" s="13">
        <v>0</v>
      </c>
      <c r="D69" s="13">
        <v>0</v>
      </c>
      <c r="E69" s="13">
        <v>0</v>
      </c>
      <c r="F69" s="14">
        <f t="shared" si="11"/>
        <v>0</v>
      </c>
      <c r="G69" s="14">
        <f t="shared" si="15"/>
        <v>4.166666666666667</v>
      </c>
      <c r="H69" s="13">
        <f t="shared" ref="H69:H70" si="16">F69</f>
        <v>0</v>
      </c>
      <c r="I69" s="14">
        <f t="shared" si="13"/>
        <v>25</v>
      </c>
      <c r="J69" s="13">
        <v>50</v>
      </c>
      <c r="K69" s="34">
        <f t="shared" si="14"/>
        <v>0</v>
      </c>
    </row>
    <row r="70" spans="1:20" x14ac:dyDescent="0.2">
      <c r="A70" s="11" t="s">
        <v>72</v>
      </c>
      <c r="B70" s="13">
        <v>0</v>
      </c>
      <c r="C70" s="13">
        <v>0</v>
      </c>
      <c r="D70" s="13">
        <v>0</v>
      </c>
      <c r="E70" s="13">
        <v>0</v>
      </c>
      <c r="F70" s="14">
        <f t="shared" si="11"/>
        <v>0</v>
      </c>
      <c r="G70" s="14">
        <f t="shared" si="15"/>
        <v>1666.6666666666667</v>
      </c>
      <c r="H70" s="13">
        <f t="shared" si="16"/>
        <v>0</v>
      </c>
      <c r="I70" s="14">
        <f t="shared" si="13"/>
        <v>10000</v>
      </c>
      <c r="J70" s="13">
        <v>20000</v>
      </c>
      <c r="K70" s="33">
        <f t="shared" si="14"/>
        <v>0</v>
      </c>
    </row>
    <row r="71" spans="1:20" x14ac:dyDescent="0.2">
      <c r="A71" s="11" t="s">
        <v>55</v>
      </c>
      <c r="B71" s="43">
        <f t="shared" ref="B71:I71" si="17">SUM(B24:B70)</f>
        <v>54270.64</v>
      </c>
      <c r="C71" s="43">
        <f t="shared" si="17"/>
        <v>188494.46999999997</v>
      </c>
      <c r="D71" s="44">
        <f t="shared" si="17"/>
        <v>31133.640000000003</v>
      </c>
      <c r="E71" s="44">
        <f t="shared" si="17"/>
        <v>17148.07</v>
      </c>
      <c r="F71" s="43">
        <f t="shared" si="17"/>
        <v>291046.82</v>
      </c>
      <c r="G71" s="43">
        <f t="shared" si="17"/>
        <v>363791.66666666663</v>
      </c>
      <c r="H71" s="44">
        <f t="shared" si="17"/>
        <v>2340659.7700000005</v>
      </c>
      <c r="I71" s="43">
        <f t="shared" si="17"/>
        <v>2182750</v>
      </c>
      <c r="J71" s="44">
        <f>SUM(J44:J70)+SUM(J24:J36)</f>
        <v>4365500</v>
      </c>
      <c r="K71" s="37">
        <f t="shared" si="14"/>
        <v>0.5361722070782271</v>
      </c>
    </row>
    <row r="72" spans="1:20" x14ac:dyDescent="0.2">
      <c r="B72" s="14"/>
      <c r="C72" s="14" t="s">
        <v>69</v>
      </c>
      <c r="D72" s="13"/>
      <c r="E72" s="13"/>
      <c r="F72" s="14"/>
      <c r="G72" s="14"/>
      <c r="H72" s="13"/>
      <c r="I72" s="14"/>
      <c r="J72" s="13"/>
    </row>
    <row r="73" spans="1:20" ht="13.5" thickBot="1" x14ac:dyDescent="0.25">
      <c r="A73" s="11" t="s">
        <v>56</v>
      </c>
      <c r="B73" s="38">
        <f t="shared" ref="B73:H73" si="18">B19-B71</f>
        <v>-54270.64</v>
      </c>
      <c r="C73" s="38">
        <f t="shared" si="18"/>
        <v>37268.650000000023</v>
      </c>
      <c r="D73" s="39">
        <f t="shared" si="18"/>
        <v>114539.24999999999</v>
      </c>
      <c r="E73" s="39">
        <f t="shared" si="18"/>
        <v>18048.269999999997</v>
      </c>
      <c r="F73" s="38">
        <f t="shared" si="18"/>
        <v>115585.53000000003</v>
      </c>
      <c r="G73" s="38">
        <f t="shared" si="18"/>
        <v>0</v>
      </c>
      <c r="H73" s="39">
        <f t="shared" si="18"/>
        <v>-38778.140000000596</v>
      </c>
      <c r="I73" s="10"/>
      <c r="J73" s="12"/>
    </row>
    <row r="74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4"/>
  <sheetViews>
    <sheetView topLeftCell="A16" zoomScaleNormal="100" workbookViewId="0">
      <selection activeCell="O19" sqref="O19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94</v>
      </c>
    </row>
    <row r="4" spans="1:10" x14ac:dyDescent="0.2">
      <c r="J4" s="16">
        <v>0.58330000000000004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2" t="s">
        <v>61</v>
      </c>
      <c r="G5" s="41" t="s">
        <v>62</v>
      </c>
      <c r="H5" s="42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2" t="s">
        <v>65</v>
      </c>
      <c r="G6" s="41" t="s">
        <v>66</v>
      </c>
      <c r="H6" s="42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0</v>
      </c>
      <c r="D7" s="13">
        <v>139452.12</v>
      </c>
      <c r="E7" s="14">
        <v>136366.74</v>
      </c>
      <c r="F7" s="14">
        <f>I7/12</f>
        <v>148333.33333333334</v>
      </c>
      <c r="G7" s="13">
        <v>978887.52</v>
      </c>
      <c r="H7" s="14">
        <f>F7*7</f>
        <v>1038333.3333333334</v>
      </c>
      <c r="I7" s="13">
        <v>1780000</v>
      </c>
      <c r="J7" s="32">
        <f>+G7/I7</f>
        <v>0.54993680898876407</v>
      </c>
    </row>
    <row r="8" spans="1:10" x14ac:dyDescent="0.2">
      <c r="A8" s="11" t="s">
        <v>2</v>
      </c>
      <c r="B8" s="13">
        <v>0</v>
      </c>
      <c r="C8" s="13">
        <v>935.14</v>
      </c>
      <c r="D8" s="13">
        <v>6290.48</v>
      </c>
      <c r="E8" s="14">
        <v>6153.81</v>
      </c>
      <c r="F8" s="14">
        <f t="shared" ref="F8:F18" si="0">I8/12</f>
        <v>6083.333333333333</v>
      </c>
      <c r="G8" s="13">
        <v>47492.77</v>
      </c>
      <c r="H8" s="14">
        <f t="shared" ref="H8:H18" si="1">F8*7</f>
        <v>42583.333333333328</v>
      </c>
      <c r="I8" s="13">
        <v>73000</v>
      </c>
      <c r="J8" s="32">
        <f t="shared" ref="J8:J19" si="2">+G8/I8</f>
        <v>0.65058589041095882</v>
      </c>
    </row>
    <row r="9" spans="1:10" x14ac:dyDescent="0.2">
      <c r="A9" s="11" t="s">
        <v>71</v>
      </c>
      <c r="B9" s="13">
        <v>0</v>
      </c>
      <c r="C9" s="13">
        <v>0</v>
      </c>
      <c r="D9" s="13">
        <v>0</v>
      </c>
      <c r="E9" s="14">
        <f t="shared" ref="E9:E18" si="3">+B9+C9+D9</f>
        <v>0</v>
      </c>
      <c r="F9" s="14">
        <f t="shared" si="0"/>
        <v>1250</v>
      </c>
      <c r="G9" s="13">
        <f t="shared" ref="G9" si="4">E9</f>
        <v>0</v>
      </c>
      <c r="H9" s="14">
        <f t="shared" si="1"/>
        <v>8750</v>
      </c>
      <c r="I9" s="13">
        <v>15000</v>
      </c>
      <c r="J9" s="32">
        <f t="shared" si="2"/>
        <v>0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917.59</v>
      </c>
      <c r="E10" s="14">
        <f t="shared" si="3"/>
        <v>917.59</v>
      </c>
      <c r="F10" s="14">
        <f t="shared" si="0"/>
        <v>3333.3333333333335</v>
      </c>
      <c r="G10" s="13">
        <v>22271.03</v>
      </c>
      <c r="H10" s="14">
        <f t="shared" si="1"/>
        <v>23333.333333333336</v>
      </c>
      <c r="I10" s="13">
        <v>40000</v>
      </c>
      <c r="J10" s="32">
        <f t="shared" si="2"/>
        <v>0.55677575000000001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6205.66</v>
      </c>
      <c r="E11" s="14">
        <f t="shared" si="3"/>
        <v>6205.66</v>
      </c>
      <c r="F11" s="14">
        <f t="shared" si="0"/>
        <v>8333.3333333333339</v>
      </c>
      <c r="G11" s="13">
        <v>88341.8</v>
      </c>
      <c r="H11" s="14">
        <f t="shared" si="1"/>
        <v>58333.333333333336</v>
      </c>
      <c r="I11" s="13">
        <v>100000</v>
      </c>
      <c r="J11" s="32">
        <f t="shared" si="2"/>
        <v>0.88341800000000004</v>
      </c>
    </row>
    <row r="12" spans="1:10" x14ac:dyDescent="0.2">
      <c r="A12" s="11" t="s">
        <v>5</v>
      </c>
      <c r="B12" s="13">
        <v>0</v>
      </c>
      <c r="C12" s="13">
        <v>160632.13</v>
      </c>
      <c r="D12" s="13">
        <v>0</v>
      </c>
      <c r="E12" s="14">
        <f t="shared" si="3"/>
        <v>160632.13</v>
      </c>
      <c r="F12" s="14">
        <f t="shared" si="0"/>
        <v>121666.66666666667</v>
      </c>
      <c r="G12" s="13">
        <v>948945.31</v>
      </c>
      <c r="H12" s="14">
        <f t="shared" si="1"/>
        <v>851666.66666666674</v>
      </c>
      <c r="I12" s="13">
        <v>1460000</v>
      </c>
      <c r="J12" s="32">
        <f t="shared" si="2"/>
        <v>0.64996254109589047</v>
      </c>
    </row>
    <row r="13" spans="1:10" x14ac:dyDescent="0.2">
      <c r="A13" s="11" t="s">
        <v>6</v>
      </c>
      <c r="B13" s="13">
        <v>0</v>
      </c>
      <c r="C13" s="13">
        <v>992.19</v>
      </c>
      <c r="D13" s="13">
        <v>0</v>
      </c>
      <c r="E13" s="14">
        <f t="shared" si="3"/>
        <v>992.19</v>
      </c>
      <c r="F13" s="14">
        <f t="shared" si="0"/>
        <v>916.66666666666663</v>
      </c>
      <c r="G13" s="13">
        <v>4908.17</v>
      </c>
      <c r="H13" s="14">
        <f t="shared" si="1"/>
        <v>6416.6666666666661</v>
      </c>
      <c r="I13" s="13">
        <v>11000</v>
      </c>
      <c r="J13" s="32">
        <f t="shared" si="2"/>
        <v>0.44619727272727272</v>
      </c>
    </row>
    <row r="14" spans="1:10" x14ac:dyDescent="0.2">
      <c r="A14" s="11" t="s">
        <v>7</v>
      </c>
      <c r="B14" s="13">
        <v>0</v>
      </c>
      <c r="C14" s="13">
        <v>24168.1</v>
      </c>
      <c r="D14" s="13">
        <v>0</v>
      </c>
      <c r="E14" s="14">
        <f t="shared" si="3"/>
        <v>24168.1</v>
      </c>
      <c r="F14" s="14">
        <f t="shared" si="0"/>
        <v>15833.333333333334</v>
      </c>
      <c r="G14" s="13">
        <v>167266.68</v>
      </c>
      <c r="H14" s="14">
        <f t="shared" si="1"/>
        <v>110833.33333333334</v>
      </c>
      <c r="I14" s="13">
        <v>190000</v>
      </c>
      <c r="J14" s="32">
        <f t="shared" si="2"/>
        <v>0.88035094736842101</v>
      </c>
    </row>
    <row r="15" spans="1:10" x14ac:dyDescent="0.2">
      <c r="A15" s="11" t="s">
        <v>8</v>
      </c>
      <c r="B15" s="13">
        <v>0</v>
      </c>
      <c r="C15" s="13">
        <v>256.52999999999997</v>
      </c>
      <c r="D15" s="13">
        <v>0</v>
      </c>
      <c r="E15" s="14">
        <f t="shared" si="3"/>
        <v>256.52999999999997</v>
      </c>
      <c r="F15" s="14">
        <f t="shared" si="0"/>
        <v>625</v>
      </c>
      <c r="G15" s="13">
        <v>2405.1799999999998</v>
      </c>
      <c r="H15" s="14">
        <f t="shared" si="1"/>
        <v>4375</v>
      </c>
      <c r="I15" s="13">
        <v>7500</v>
      </c>
      <c r="J15" s="32">
        <f t="shared" si="2"/>
        <v>0.32069066666666662</v>
      </c>
    </row>
    <row r="16" spans="1:10" x14ac:dyDescent="0.2">
      <c r="A16" s="11" t="s">
        <v>9</v>
      </c>
      <c r="B16" s="13">
        <v>0</v>
      </c>
      <c r="C16" s="13">
        <v>10205.86</v>
      </c>
      <c r="D16" s="13">
        <v>0</v>
      </c>
      <c r="E16" s="14">
        <f t="shared" si="3"/>
        <v>10205.86</v>
      </c>
      <c r="F16" s="14">
        <f t="shared" si="0"/>
        <v>4166.666666666667</v>
      </c>
      <c r="G16" s="13">
        <v>34758.660000000003</v>
      </c>
      <c r="H16" s="14">
        <f t="shared" si="1"/>
        <v>29166.666666666668</v>
      </c>
      <c r="I16" s="13">
        <v>50000</v>
      </c>
      <c r="J16" s="32">
        <f t="shared" si="2"/>
        <v>0.69517320000000005</v>
      </c>
    </row>
    <row r="17" spans="1:11" x14ac:dyDescent="0.2">
      <c r="A17" s="11" t="s">
        <v>10</v>
      </c>
      <c r="B17" s="13">
        <v>0</v>
      </c>
      <c r="C17" s="13">
        <v>53588.14</v>
      </c>
      <c r="D17" s="13">
        <v>0</v>
      </c>
      <c r="E17" s="14">
        <f t="shared" si="3"/>
        <v>53588.14</v>
      </c>
      <c r="F17" s="14">
        <f t="shared" si="0"/>
        <v>48666.666666666664</v>
      </c>
      <c r="G17" s="13">
        <v>354631</v>
      </c>
      <c r="H17" s="14">
        <f t="shared" si="1"/>
        <v>340666.66666666663</v>
      </c>
      <c r="I17" s="13">
        <v>584000</v>
      </c>
      <c r="J17" s="32">
        <f t="shared" si="2"/>
        <v>0.60724486301369862</v>
      </c>
    </row>
    <row r="18" spans="1:11" x14ac:dyDescent="0.2">
      <c r="A18" s="11" t="s">
        <v>11</v>
      </c>
      <c r="B18" s="13">
        <v>0</v>
      </c>
      <c r="C18" s="13">
        <v>9306.1200000000008</v>
      </c>
      <c r="D18" s="13">
        <v>0</v>
      </c>
      <c r="E18" s="14">
        <f t="shared" si="3"/>
        <v>9306.1200000000008</v>
      </c>
      <c r="F18" s="14">
        <f t="shared" si="0"/>
        <v>4583.333333333333</v>
      </c>
      <c r="G18" s="13">
        <v>69326.679999999993</v>
      </c>
      <c r="H18" s="14">
        <f t="shared" si="1"/>
        <v>32083.333333333332</v>
      </c>
      <c r="I18" s="13">
        <v>55000</v>
      </c>
      <c r="J18" s="33">
        <f t="shared" si="2"/>
        <v>1.2604850909090908</v>
      </c>
    </row>
    <row r="19" spans="1:11" x14ac:dyDescent="0.2">
      <c r="A19" s="11" t="s">
        <v>12</v>
      </c>
      <c r="B19" s="43">
        <f t="shared" ref="B19:I19" si="5">SUM(B7:B18)</f>
        <v>0</v>
      </c>
      <c r="C19" s="43">
        <f t="shared" si="5"/>
        <v>260084.21000000002</v>
      </c>
      <c r="D19" s="44">
        <f t="shared" si="5"/>
        <v>152865.85</v>
      </c>
      <c r="E19" s="43">
        <f t="shared" si="5"/>
        <v>408792.87</v>
      </c>
      <c r="F19" s="43">
        <f t="shared" si="5"/>
        <v>363791.66666666674</v>
      </c>
      <c r="G19" s="44">
        <f t="shared" si="5"/>
        <v>2719234.8000000007</v>
      </c>
      <c r="H19" s="43">
        <f>SUM(H7:H18)</f>
        <v>2546541.6666666665</v>
      </c>
      <c r="I19" s="44">
        <f t="shared" si="5"/>
        <v>4365500</v>
      </c>
      <c r="J19" s="37">
        <f t="shared" si="2"/>
        <v>0.62289194823044347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2" t="s">
        <v>61</v>
      </c>
      <c r="G21" s="41" t="s">
        <v>62</v>
      </c>
      <c r="H21" s="42" t="s">
        <v>62</v>
      </c>
      <c r="I21" s="41" t="s">
        <v>63</v>
      </c>
      <c r="J21" s="16">
        <f>+J4</f>
        <v>0.58330000000000004</v>
      </c>
    </row>
    <row r="22" spans="1:11" x14ac:dyDescent="0.2">
      <c r="A22" s="11"/>
      <c r="B22" s="42"/>
      <c r="C22" s="45"/>
      <c r="D22" s="41"/>
      <c r="E22" s="42" t="s">
        <v>68</v>
      </c>
      <c r="F22" s="42" t="s">
        <v>65</v>
      </c>
      <c r="G22" s="41" t="s">
        <v>68</v>
      </c>
      <c r="H22" s="42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2"/>
      <c r="G23" s="41"/>
      <c r="H23" s="42"/>
      <c r="I23" s="41"/>
      <c r="J23" s="17" t="s">
        <v>75</v>
      </c>
    </row>
    <row r="24" spans="1:11" x14ac:dyDescent="0.2">
      <c r="A24" s="11" t="s">
        <v>14</v>
      </c>
      <c r="B24" s="13">
        <v>23655.38</v>
      </c>
      <c r="C24" s="13">
        <v>37977.15</v>
      </c>
      <c r="D24" s="13">
        <v>12145.6</v>
      </c>
      <c r="E24" s="14">
        <f t="shared" ref="E24:E36" si="6">B24+C24+D24</f>
        <v>73778.13</v>
      </c>
      <c r="F24" s="14">
        <f t="shared" ref="F24:F36" si="7">I24/12</f>
        <v>85833.333333333328</v>
      </c>
      <c r="G24" s="13">
        <v>696524.78</v>
      </c>
      <c r="H24" s="14">
        <f t="shared" ref="H24:H36" si="8">F24*7</f>
        <v>600833.33333333326</v>
      </c>
      <c r="I24" s="13">
        <v>1030000</v>
      </c>
      <c r="J24" s="34">
        <f t="shared" ref="J24:J36" si="9">+G24/I24</f>
        <v>0.67623765048543694</v>
      </c>
    </row>
    <row r="25" spans="1:11" x14ac:dyDescent="0.2">
      <c r="A25" s="11" t="s">
        <v>15</v>
      </c>
      <c r="B25" s="13">
        <v>1896</v>
      </c>
      <c r="C25" s="13">
        <v>3332.32</v>
      </c>
      <c r="D25" s="13">
        <v>982.38</v>
      </c>
      <c r="E25" s="14">
        <f t="shared" si="6"/>
        <v>6210.7</v>
      </c>
      <c r="F25" s="14">
        <f t="shared" si="7"/>
        <v>6666.666666666667</v>
      </c>
      <c r="G25" s="13">
        <v>58234.25</v>
      </c>
      <c r="H25" s="14">
        <f t="shared" si="8"/>
        <v>46666.666666666672</v>
      </c>
      <c r="I25" s="13">
        <v>80000</v>
      </c>
      <c r="J25" s="34">
        <f t="shared" si="9"/>
        <v>0.72792812500000004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6"/>
        <v>0</v>
      </c>
      <c r="F26" s="14">
        <f t="shared" si="7"/>
        <v>625</v>
      </c>
      <c r="G26" s="13">
        <f t="shared" ref="G26:G35" si="10">E26</f>
        <v>0</v>
      </c>
      <c r="H26" s="14">
        <f t="shared" si="8"/>
        <v>4375</v>
      </c>
      <c r="I26" s="13">
        <v>7500</v>
      </c>
      <c r="J26" s="34">
        <f t="shared" si="9"/>
        <v>0</v>
      </c>
    </row>
    <row r="27" spans="1:11" x14ac:dyDescent="0.2">
      <c r="A27" s="11" t="s">
        <v>17</v>
      </c>
      <c r="B27" s="13">
        <v>1392.32</v>
      </c>
      <c r="C27" s="13">
        <v>509.6</v>
      </c>
      <c r="D27" s="13">
        <v>804.64</v>
      </c>
      <c r="E27" s="14">
        <f t="shared" si="6"/>
        <v>2706.56</v>
      </c>
      <c r="F27" s="14">
        <f t="shared" si="7"/>
        <v>3600</v>
      </c>
      <c r="G27" s="13">
        <v>24796.28</v>
      </c>
      <c r="H27" s="14">
        <f t="shared" si="8"/>
        <v>25200</v>
      </c>
      <c r="I27" s="13">
        <v>43200</v>
      </c>
      <c r="J27" s="34">
        <f t="shared" si="9"/>
        <v>0.57398796296296295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8750</v>
      </c>
      <c r="G28" s="13">
        <v>105312.99</v>
      </c>
      <c r="H28" s="14">
        <f t="shared" si="8"/>
        <v>61250</v>
      </c>
      <c r="I28" s="13">
        <v>105000</v>
      </c>
      <c r="J28" s="34">
        <f t="shared" si="9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6"/>
        <v>0</v>
      </c>
      <c r="F29" s="14">
        <f t="shared" si="7"/>
        <v>833.33333333333337</v>
      </c>
      <c r="G29" s="13">
        <f t="shared" si="10"/>
        <v>0</v>
      </c>
      <c r="H29" s="14">
        <f t="shared" si="8"/>
        <v>5833.3333333333339</v>
      </c>
      <c r="I29" s="13">
        <f>10000</f>
        <v>10000</v>
      </c>
      <c r="J29" s="34">
        <f t="shared" si="9"/>
        <v>0</v>
      </c>
    </row>
    <row r="30" spans="1:11" x14ac:dyDescent="0.2">
      <c r="A30" s="11" t="s">
        <v>20</v>
      </c>
      <c r="B30" s="13">
        <v>0</v>
      </c>
      <c r="C30" s="13">
        <v>0</v>
      </c>
      <c r="D30" s="13">
        <v>0</v>
      </c>
      <c r="E30" s="14">
        <f t="shared" si="6"/>
        <v>0</v>
      </c>
      <c r="F30" s="14">
        <f t="shared" si="7"/>
        <v>2083.3333333333335</v>
      </c>
      <c r="G30" s="13">
        <v>14175</v>
      </c>
      <c r="H30" s="14">
        <f t="shared" si="8"/>
        <v>14583.333333333334</v>
      </c>
      <c r="I30" s="13">
        <v>25000</v>
      </c>
      <c r="J30" s="34">
        <f t="shared" si="9"/>
        <v>0.56699999999999995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1750</v>
      </c>
      <c r="G31" s="13">
        <v>8870.93</v>
      </c>
      <c r="H31" s="14">
        <f t="shared" si="8"/>
        <v>12250</v>
      </c>
      <c r="I31" s="13">
        <v>21000</v>
      </c>
      <c r="J31" s="34">
        <f t="shared" si="9"/>
        <v>0.42242523809523813</v>
      </c>
    </row>
    <row r="32" spans="1:11" x14ac:dyDescent="0.2">
      <c r="A32" s="11" t="s">
        <v>22</v>
      </c>
      <c r="B32" s="13">
        <v>0</v>
      </c>
      <c r="C32" s="13">
        <v>1056.0999999999999</v>
      </c>
      <c r="D32" s="13">
        <v>1056.51</v>
      </c>
      <c r="E32" s="14">
        <f t="shared" si="6"/>
        <v>2112.6099999999997</v>
      </c>
      <c r="F32" s="14">
        <f t="shared" si="7"/>
        <v>2666.6666666666665</v>
      </c>
      <c r="G32" s="13">
        <v>12062.05</v>
      </c>
      <c r="H32" s="14">
        <f t="shared" si="8"/>
        <v>18666.666666666664</v>
      </c>
      <c r="I32" s="13">
        <v>32000</v>
      </c>
      <c r="J32" s="34">
        <f t="shared" si="9"/>
        <v>0.37693906249999998</v>
      </c>
    </row>
    <row r="33" spans="1:19" x14ac:dyDescent="0.2">
      <c r="A33" s="11" t="s">
        <v>23</v>
      </c>
      <c r="B33" s="13">
        <v>0</v>
      </c>
      <c r="C33" s="13">
        <v>3760.11</v>
      </c>
      <c r="D33" s="13">
        <v>3584.97</v>
      </c>
      <c r="E33" s="14">
        <f t="shared" si="6"/>
        <v>7345.08</v>
      </c>
      <c r="F33" s="14">
        <f t="shared" si="7"/>
        <v>10833.333333333334</v>
      </c>
      <c r="G33" s="13">
        <v>59478.07</v>
      </c>
      <c r="H33" s="14">
        <f t="shared" si="8"/>
        <v>75833.333333333343</v>
      </c>
      <c r="I33" s="13">
        <v>130000</v>
      </c>
      <c r="J33" s="34">
        <f t="shared" si="9"/>
        <v>0.45752361538461539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0</v>
      </c>
      <c r="E34" s="14">
        <f t="shared" si="6"/>
        <v>0</v>
      </c>
      <c r="F34" s="14">
        <f t="shared" si="7"/>
        <v>1666.6666666666667</v>
      </c>
      <c r="G34" s="13">
        <v>788.18</v>
      </c>
      <c r="H34" s="14">
        <f t="shared" si="8"/>
        <v>11666.666666666668</v>
      </c>
      <c r="I34" s="13">
        <v>20000</v>
      </c>
      <c r="J34" s="34">
        <f t="shared" si="9"/>
        <v>3.9409E-2</v>
      </c>
    </row>
    <row r="35" spans="1:19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6"/>
        <v>0</v>
      </c>
      <c r="F35" s="14">
        <f t="shared" si="7"/>
        <v>250</v>
      </c>
      <c r="G35" s="13">
        <f t="shared" si="10"/>
        <v>0</v>
      </c>
      <c r="H35" s="14">
        <f t="shared" si="8"/>
        <v>1750</v>
      </c>
      <c r="I35" s="13">
        <f>1500+1500</f>
        <v>3000</v>
      </c>
      <c r="J35" s="34">
        <f t="shared" si="9"/>
        <v>0</v>
      </c>
    </row>
    <row r="36" spans="1:19" x14ac:dyDescent="0.2">
      <c r="A36" s="11" t="s">
        <v>26</v>
      </c>
      <c r="B36" s="13">
        <v>0</v>
      </c>
      <c r="C36" s="13">
        <v>9500</v>
      </c>
      <c r="D36" s="13">
        <v>0</v>
      </c>
      <c r="E36" s="14">
        <f t="shared" si="6"/>
        <v>9500</v>
      </c>
      <c r="F36" s="14">
        <f t="shared" si="7"/>
        <v>29166.666666666668</v>
      </c>
      <c r="G36" s="13">
        <v>82519</v>
      </c>
      <c r="H36" s="14">
        <f t="shared" si="8"/>
        <v>204166.66666666669</v>
      </c>
      <c r="I36" s="13">
        <v>350000</v>
      </c>
      <c r="J36" s="34">
        <f t="shared" si="9"/>
        <v>0.23576857142857144</v>
      </c>
    </row>
    <row r="37" spans="1:19" x14ac:dyDescent="0.2">
      <c r="A37" s="11"/>
      <c r="B37" s="14"/>
      <c r="C37" s="13"/>
      <c r="D37" s="13"/>
      <c r="E37" s="14"/>
      <c r="F37" s="14"/>
      <c r="G37" s="13"/>
      <c r="H37" s="14"/>
      <c r="I37" s="13"/>
    </row>
    <row r="38" spans="1:19" x14ac:dyDescent="0.2">
      <c r="A38" s="11"/>
      <c r="B38" s="2"/>
      <c r="C38" s="6"/>
      <c r="D38" s="6"/>
      <c r="E38" s="2"/>
      <c r="F38" s="2"/>
      <c r="G38" s="6"/>
      <c r="H38" s="2"/>
      <c r="I38" s="6"/>
    </row>
    <row r="39" spans="1:19" x14ac:dyDescent="0.2">
      <c r="A39" s="11"/>
      <c r="B39" s="1"/>
      <c r="C39" s="7"/>
      <c r="D39" s="8"/>
      <c r="E39" s="1"/>
      <c r="F39" s="1"/>
      <c r="G39" s="8"/>
      <c r="H39" s="1"/>
      <c r="I39" s="8"/>
      <c r="K39" s="1"/>
      <c r="L39" s="1"/>
      <c r="N39" s="1"/>
      <c r="O39" s="1"/>
      <c r="P39" s="1"/>
      <c r="Q39" s="1"/>
      <c r="R39" s="1"/>
      <c r="S39" s="1"/>
    </row>
    <row r="40" spans="1:19" x14ac:dyDescent="0.2">
      <c r="A40" s="11"/>
      <c r="B40" s="2"/>
      <c r="C40" s="6"/>
      <c r="D40" s="6"/>
      <c r="E40" s="2"/>
      <c r="F40" s="2"/>
      <c r="G40" s="6"/>
      <c r="H40" s="2"/>
      <c r="I40" s="6"/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B41" s="42" t="s">
        <v>57</v>
      </c>
      <c r="C41" s="46" t="s">
        <v>58</v>
      </c>
      <c r="D41" s="41" t="s">
        <v>59</v>
      </c>
      <c r="E41" s="42" t="s">
        <v>60</v>
      </c>
      <c r="F41" s="42" t="s">
        <v>61</v>
      </c>
      <c r="G41" s="41" t="s">
        <v>62</v>
      </c>
      <c r="H41" s="42" t="s">
        <v>62</v>
      </c>
      <c r="I41" s="41" t="s">
        <v>63</v>
      </c>
      <c r="J41" s="16">
        <f>+J4</f>
        <v>0.58330000000000004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/>
      <c r="B42" s="42"/>
      <c r="C42" s="46"/>
      <c r="D42" s="41"/>
      <c r="E42" s="42" t="s">
        <v>68</v>
      </c>
      <c r="F42" s="42" t="s">
        <v>65</v>
      </c>
      <c r="G42" s="41" t="s">
        <v>68</v>
      </c>
      <c r="H42" s="42" t="s">
        <v>67</v>
      </c>
      <c r="I42" s="41" t="s">
        <v>67</v>
      </c>
      <c r="J42" s="17" t="s">
        <v>65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42"/>
      <c r="C43" s="46"/>
      <c r="D43" s="41"/>
      <c r="E43" s="42"/>
      <c r="F43" s="42"/>
      <c r="G43" s="41"/>
      <c r="H43" s="42"/>
      <c r="I43" s="41"/>
      <c r="J43" s="17" t="s">
        <v>75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27</v>
      </c>
      <c r="B44" s="6">
        <v>4799.3999999999996</v>
      </c>
      <c r="C44" s="6">
        <v>7924.26</v>
      </c>
      <c r="D44" s="6">
        <v>4053.4</v>
      </c>
      <c r="E44" s="2">
        <f t="shared" ref="E44:E70" si="11">B44+C44+D44</f>
        <v>16777.060000000001</v>
      </c>
      <c r="F44" s="2">
        <f t="shared" ref="F44:F46" si="12">I44/12</f>
        <v>16500</v>
      </c>
      <c r="G44" s="6">
        <v>119228.19</v>
      </c>
      <c r="H44" s="14">
        <f t="shared" ref="H44:H70" si="13">F44*7</f>
        <v>115500</v>
      </c>
      <c r="I44" s="6">
        <v>198000</v>
      </c>
      <c r="J44" s="34">
        <f t="shared" ref="J44:J71" si="14">+G44/I44</f>
        <v>0.60216257575757581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28</v>
      </c>
      <c r="B45" s="13">
        <v>0</v>
      </c>
      <c r="C45" s="13">
        <v>0</v>
      </c>
      <c r="D45" s="13">
        <v>0</v>
      </c>
      <c r="E45" s="14">
        <f t="shared" si="11"/>
        <v>0</v>
      </c>
      <c r="F45" s="14">
        <f t="shared" si="12"/>
        <v>25520.833333333332</v>
      </c>
      <c r="G45" s="13">
        <v>293204</v>
      </c>
      <c r="H45" s="14">
        <f t="shared" si="13"/>
        <v>178645.83333333331</v>
      </c>
      <c r="I45" s="13">
        <v>306250</v>
      </c>
      <c r="J45" s="34">
        <f t="shared" si="14"/>
        <v>0.95740081632653062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29</v>
      </c>
      <c r="B46" s="13">
        <v>0</v>
      </c>
      <c r="C46" s="13">
        <v>0</v>
      </c>
      <c r="D46" s="13">
        <v>0</v>
      </c>
      <c r="E46" s="14">
        <f t="shared" si="11"/>
        <v>0</v>
      </c>
      <c r="F46" s="14">
        <f t="shared" si="12"/>
        <v>416.66666666666669</v>
      </c>
      <c r="G46" s="13">
        <v>1236.0899999999999</v>
      </c>
      <c r="H46" s="14">
        <f t="shared" si="13"/>
        <v>2916.666666666667</v>
      </c>
      <c r="I46" s="13">
        <f>2500+2500</f>
        <v>5000</v>
      </c>
      <c r="J46" s="34">
        <f t="shared" si="14"/>
        <v>0.24721799999999999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30</v>
      </c>
      <c r="B47" s="13">
        <v>0</v>
      </c>
      <c r="C47" s="13">
        <v>1086.67</v>
      </c>
      <c r="D47" s="13">
        <v>1081.67</v>
      </c>
      <c r="E47" s="14">
        <f t="shared" si="11"/>
        <v>2168.34</v>
      </c>
      <c r="F47" s="14">
        <f>I47/12</f>
        <v>1333.3333333333333</v>
      </c>
      <c r="G47" s="13">
        <v>14657.28</v>
      </c>
      <c r="H47" s="14">
        <f t="shared" si="13"/>
        <v>9333.3333333333321</v>
      </c>
      <c r="I47" s="13">
        <f>8000+8000</f>
        <v>16000</v>
      </c>
      <c r="J47" s="34">
        <f t="shared" si="14"/>
        <v>0.91608000000000001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32</v>
      </c>
      <c r="B48" s="13">
        <v>0</v>
      </c>
      <c r="C48" s="13">
        <v>0</v>
      </c>
      <c r="D48" s="13">
        <v>0</v>
      </c>
      <c r="E48" s="14">
        <f t="shared" si="11"/>
        <v>0</v>
      </c>
      <c r="F48" s="14">
        <f t="shared" ref="F48:F70" si="15">I48/12</f>
        <v>6500</v>
      </c>
      <c r="G48" s="13">
        <v>0</v>
      </c>
      <c r="H48" s="14">
        <f t="shared" si="13"/>
        <v>45500</v>
      </c>
      <c r="I48" s="13">
        <v>78000</v>
      </c>
      <c r="J48" s="34">
        <f t="shared" si="14"/>
        <v>0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33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 t="shared" si="15"/>
        <v>750</v>
      </c>
      <c r="G49" s="13">
        <v>1644.61</v>
      </c>
      <c r="H49" s="14">
        <f t="shared" si="13"/>
        <v>5250</v>
      </c>
      <c r="I49" s="13">
        <v>9000</v>
      </c>
      <c r="J49" s="34">
        <f t="shared" si="14"/>
        <v>0.18273444444444442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34</v>
      </c>
      <c r="B50" s="13">
        <v>0</v>
      </c>
      <c r="C50" s="13">
        <v>355.59</v>
      </c>
      <c r="D50" s="13">
        <v>412.91</v>
      </c>
      <c r="E50" s="14">
        <f t="shared" si="11"/>
        <v>768.5</v>
      </c>
      <c r="F50" s="14">
        <f t="shared" si="15"/>
        <v>1250</v>
      </c>
      <c r="G50" s="13">
        <v>8259.6299999999992</v>
      </c>
      <c r="H50" s="14">
        <f t="shared" si="13"/>
        <v>8750</v>
      </c>
      <c r="I50" s="13">
        <v>15000</v>
      </c>
      <c r="J50" s="34">
        <f t="shared" si="14"/>
        <v>0.55064199999999996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35</v>
      </c>
      <c r="B51" s="13">
        <v>0</v>
      </c>
      <c r="C51" s="13">
        <v>2841.87</v>
      </c>
      <c r="D51" s="13">
        <v>1080.56</v>
      </c>
      <c r="E51" s="14">
        <f t="shared" si="11"/>
        <v>3922.43</v>
      </c>
      <c r="F51" s="14">
        <f t="shared" si="15"/>
        <v>13750</v>
      </c>
      <c r="G51" s="13">
        <v>48854.55</v>
      </c>
      <c r="H51" s="14">
        <f t="shared" si="13"/>
        <v>96250</v>
      </c>
      <c r="I51" s="13">
        <v>165000</v>
      </c>
      <c r="J51" s="34">
        <f t="shared" si="14"/>
        <v>0.29608818181818186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36</v>
      </c>
      <c r="B52" s="13">
        <v>0</v>
      </c>
      <c r="C52" s="13">
        <v>117686.28</v>
      </c>
      <c r="D52" s="13">
        <v>0</v>
      </c>
      <c r="E52" s="14">
        <f t="shared" si="11"/>
        <v>117686.28</v>
      </c>
      <c r="F52" s="14">
        <f t="shared" si="15"/>
        <v>91666.666666666672</v>
      </c>
      <c r="G52" s="13">
        <v>694289.56</v>
      </c>
      <c r="H52" s="14">
        <f t="shared" si="13"/>
        <v>641666.66666666674</v>
      </c>
      <c r="I52" s="13">
        <v>1100000</v>
      </c>
      <c r="J52" s="34">
        <f t="shared" si="14"/>
        <v>0.63117232727272732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37</v>
      </c>
      <c r="B53" s="13">
        <v>0</v>
      </c>
      <c r="C53" s="13">
        <v>0</v>
      </c>
      <c r="D53" s="13">
        <v>0</v>
      </c>
      <c r="E53" s="14">
        <f t="shared" si="11"/>
        <v>0</v>
      </c>
      <c r="F53" s="14">
        <f t="shared" si="15"/>
        <v>875</v>
      </c>
      <c r="G53" s="13">
        <v>2605.59</v>
      </c>
      <c r="H53" s="14">
        <f t="shared" si="13"/>
        <v>6125</v>
      </c>
      <c r="I53" s="13">
        <v>10500</v>
      </c>
      <c r="J53" s="34">
        <f t="shared" si="14"/>
        <v>0.24815142857142858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38</v>
      </c>
      <c r="B54" s="13">
        <v>0</v>
      </c>
      <c r="C54" s="13">
        <v>5593</v>
      </c>
      <c r="D54" s="13">
        <v>0</v>
      </c>
      <c r="E54" s="14">
        <f t="shared" si="11"/>
        <v>5593</v>
      </c>
      <c r="F54" s="14">
        <f t="shared" si="15"/>
        <v>3333.3333333333335</v>
      </c>
      <c r="G54" s="13">
        <v>46487</v>
      </c>
      <c r="H54" s="14">
        <f t="shared" si="13"/>
        <v>23333.333333333336</v>
      </c>
      <c r="I54" s="13">
        <v>40000</v>
      </c>
      <c r="J54" s="34">
        <f t="shared" si="14"/>
        <v>1.162175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39</v>
      </c>
      <c r="B55" s="13">
        <v>0</v>
      </c>
      <c r="C55" s="13">
        <v>3118.98</v>
      </c>
      <c r="D55" s="13">
        <v>0</v>
      </c>
      <c r="E55" s="14">
        <f t="shared" si="11"/>
        <v>3118.98</v>
      </c>
      <c r="F55" s="14">
        <f t="shared" si="15"/>
        <v>625</v>
      </c>
      <c r="G55" s="13">
        <v>5642.16</v>
      </c>
      <c r="H55" s="14">
        <f t="shared" si="13"/>
        <v>4375</v>
      </c>
      <c r="I55" s="13">
        <v>7500</v>
      </c>
      <c r="J55" s="34">
        <f t="shared" si="14"/>
        <v>0.75228799999999996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40</v>
      </c>
      <c r="B56" s="13">
        <v>13.25</v>
      </c>
      <c r="C56" s="13">
        <v>0</v>
      </c>
      <c r="D56" s="13">
        <v>0</v>
      </c>
      <c r="E56" s="14">
        <f t="shared" si="11"/>
        <v>13.25</v>
      </c>
      <c r="F56" s="14">
        <f t="shared" si="15"/>
        <v>875</v>
      </c>
      <c r="G56" s="13">
        <v>3270.64</v>
      </c>
      <c r="H56" s="14">
        <f t="shared" si="13"/>
        <v>6125</v>
      </c>
      <c r="I56" s="13">
        <v>10500</v>
      </c>
      <c r="J56" s="34">
        <f t="shared" si="14"/>
        <v>0.31148952380952377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41</v>
      </c>
      <c r="B57" s="13">
        <v>2283.75</v>
      </c>
      <c r="C57" s="13">
        <v>433.84</v>
      </c>
      <c r="D57" s="13">
        <v>0</v>
      </c>
      <c r="E57" s="14">
        <f t="shared" si="11"/>
        <v>2717.59</v>
      </c>
      <c r="F57" s="14">
        <f t="shared" si="15"/>
        <v>2500</v>
      </c>
      <c r="G57" s="13">
        <v>28670.9</v>
      </c>
      <c r="H57" s="14">
        <f t="shared" si="13"/>
        <v>17500</v>
      </c>
      <c r="I57" s="13">
        <v>30000</v>
      </c>
      <c r="J57" s="34">
        <f t="shared" si="14"/>
        <v>0.95569666666666675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42</v>
      </c>
      <c r="B58" s="13">
        <v>0</v>
      </c>
      <c r="C58" s="13">
        <v>7693.15</v>
      </c>
      <c r="D58" s="13">
        <v>0</v>
      </c>
      <c r="E58" s="14">
        <f t="shared" si="11"/>
        <v>7693.15</v>
      </c>
      <c r="F58" s="14">
        <f t="shared" si="15"/>
        <v>13333.333333333334</v>
      </c>
      <c r="G58" s="13">
        <v>50105.88</v>
      </c>
      <c r="H58" s="14">
        <f t="shared" si="13"/>
        <v>93333.333333333343</v>
      </c>
      <c r="I58" s="13">
        <v>160000</v>
      </c>
      <c r="J58" s="34">
        <f t="shared" si="14"/>
        <v>0.31316174999999996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43</v>
      </c>
      <c r="B59" s="13">
        <v>0</v>
      </c>
      <c r="C59" s="13">
        <v>4388.47</v>
      </c>
      <c r="D59" s="13">
        <v>0</v>
      </c>
      <c r="E59" s="14">
        <f t="shared" si="11"/>
        <v>4388.47</v>
      </c>
      <c r="F59" s="14">
        <f t="shared" si="15"/>
        <v>3333.3333333333335</v>
      </c>
      <c r="G59" s="13">
        <v>30259.49</v>
      </c>
      <c r="H59" s="14">
        <f t="shared" si="13"/>
        <v>23333.333333333336</v>
      </c>
      <c r="I59" s="13">
        <v>40000</v>
      </c>
      <c r="J59" s="34">
        <f t="shared" si="14"/>
        <v>0.75648725000000006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44</v>
      </c>
      <c r="B60" s="13">
        <v>0</v>
      </c>
      <c r="C60" s="13">
        <v>0</v>
      </c>
      <c r="D60" s="13">
        <v>0</v>
      </c>
      <c r="E60" s="14">
        <f t="shared" si="11"/>
        <v>0</v>
      </c>
      <c r="F60" s="14">
        <f t="shared" si="15"/>
        <v>1583.3333333333333</v>
      </c>
      <c r="G60" s="13">
        <v>22802</v>
      </c>
      <c r="H60" s="14">
        <f t="shared" si="13"/>
        <v>11083.333333333332</v>
      </c>
      <c r="I60" s="13">
        <v>19000</v>
      </c>
      <c r="J60" s="34">
        <f t="shared" si="14"/>
        <v>1.2001052631578948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45</v>
      </c>
      <c r="B61" s="13">
        <v>0</v>
      </c>
      <c r="C61" s="13">
        <v>691.27</v>
      </c>
      <c r="D61" s="13">
        <v>0</v>
      </c>
      <c r="E61" s="14">
        <f t="shared" si="11"/>
        <v>691.27</v>
      </c>
      <c r="F61" s="14">
        <f t="shared" si="15"/>
        <v>1416.6666666666667</v>
      </c>
      <c r="G61" s="13">
        <v>11185.55</v>
      </c>
      <c r="H61" s="14">
        <f t="shared" si="13"/>
        <v>9916.6666666666679</v>
      </c>
      <c r="I61" s="13">
        <v>17000</v>
      </c>
      <c r="J61" s="34">
        <f t="shared" si="14"/>
        <v>0.65797352941176468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46</v>
      </c>
      <c r="B62" s="13">
        <v>0</v>
      </c>
      <c r="C62" s="13">
        <v>0</v>
      </c>
      <c r="D62" s="13">
        <v>0</v>
      </c>
      <c r="E62" s="14">
        <f t="shared" si="11"/>
        <v>0</v>
      </c>
      <c r="F62" s="14">
        <f t="shared" si="15"/>
        <v>1666.6666666666667</v>
      </c>
      <c r="G62" s="13">
        <v>10571.79</v>
      </c>
      <c r="H62" s="14">
        <f t="shared" si="13"/>
        <v>11666.666666666668</v>
      </c>
      <c r="I62" s="13">
        <v>20000</v>
      </c>
      <c r="J62" s="34">
        <f t="shared" si="14"/>
        <v>0.52858950000000005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47</v>
      </c>
      <c r="B63" s="13">
        <v>11251.31</v>
      </c>
      <c r="C63" s="13">
        <v>0</v>
      </c>
      <c r="D63" s="13">
        <v>0</v>
      </c>
      <c r="E63" s="14">
        <f t="shared" si="11"/>
        <v>11251.31</v>
      </c>
      <c r="F63" s="14">
        <f t="shared" si="15"/>
        <v>12541.666666666666</v>
      </c>
      <c r="G63" s="13">
        <v>86772.94</v>
      </c>
      <c r="H63" s="14">
        <f t="shared" si="13"/>
        <v>87791.666666666657</v>
      </c>
      <c r="I63" s="13">
        <v>150500</v>
      </c>
      <c r="J63" s="34">
        <f t="shared" si="14"/>
        <v>0.57656438538205979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48</v>
      </c>
      <c r="B64" s="13">
        <v>0</v>
      </c>
      <c r="C64" s="13">
        <v>0</v>
      </c>
      <c r="D64" s="13">
        <v>0</v>
      </c>
      <c r="E64" s="14">
        <f t="shared" si="11"/>
        <v>0</v>
      </c>
      <c r="F64" s="14">
        <f t="shared" si="15"/>
        <v>83.333333333333329</v>
      </c>
      <c r="G64" s="13">
        <v>240</v>
      </c>
      <c r="H64" s="14">
        <f t="shared" si="13"/>
        <v>583.33333333333326</v>
      </c>
      <c r="I64" s="13">
        <v>1000</v>
      </c>
      <c r="J64" s="34">
        <f t="shared" si="14"/>
        <v>0.24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49</v>
      </c>
      <c r="B65" s="13">
        <v>141.44999999999999</v>
      </c>
      <c r="C65" s="13">
        <v>104.69</v>
      </c>
      <c r="D65" s="13">
        <v>0</v>
      </c>
      <c r="E65" s="14">
        <f t="shared" si="11"/>
        <v>246.14</v>
      </c>
      <c r="F65" s="14">
        <f t="shared" si="15"/>
        <v>208.33333333333334</v>
      </c>
      <c r="G65" s="13">
        <v>1355.32</v>
      </c>
      <c r="H65" s="14">
        <f t="shared" si="13"/>
        <v>1458.3333333333335</v>
      </c>
      <c r="I65" s="13">
        <v>2500</v>
      </c>
      <c r="J65" s="34">
        <f t="shared" si="14"/>
        <v>0.54212799999999994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50</v>
      </c>
      <c r="B66" s="13">
        <v>0</v>
      </c>
      <c r="C66" s="13">
        <v>0</v>
      </c>
      <c r="D66" s="13">
        <v>0</v>
      </c>
      <c r="E66" s="14">
        <f t="shared" si="11"/>
        <v>0</v>
      </c>
      <c r="F66" s="14">
        <f t="shared" si="15"/>
        <v>2500</v>
      </c>
      <c r="G66" s="13">
        <v>17190.5</v>
      </c>
      <c r="H66" s="14">
        <f t="shared" si="13"/>
        <v>17500</v>
      </c>
      <c r="I66" s="13">
        <v>30000</v>
      </c>
      <c r="J66" s="34">
        <f t="shared" si="14"/>
        <v>0.57301666666666662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52</v>
      </c>
      <c r="B67" s="13">
        <v>0</v>
      </c>
      <c r="C67" s="13">
        <v>5424.71</v>
      </c>
      <c r="D67" s="13">
        <v>0</v>
      </c>
      <c r="E67" s="14">
        <f t="shared" si="11"/>
        <v>5424.71</v>
      </c>
      <c r="F67" s="14">
        <f t="shared" si="15"/>
        <v>4000</v>
      </c>
      <c r="G67" s="13">
        <v>32813.120000000003</v>
      </c>
      <c r="H67" s="14">
        <f t="shared" si="13"/>
        <v>28000</v>
      </c>
      <c r="I67" s="13">
        <v>48000</v>
      </c>
      <c r="J67" s="34">
        <f t="shared" si="14"/>
        <v>0.6836066666666667</v>
      </c>
      <c r="K67" s="1"/>
      <c r="L67" s="2"/>
      <c r="M67" s="2"/>
      <c r="N67" s="2"/>
      <c r="O67" s="3"/>
      <c r="Q67" s="3"/>
    </row>
    <row r="68" spans="1:19" x14ac:dyDescent="0.2">
      <c r="A68" s="11" t="s">
        <v>53</v>
      </c>
      <c r="B68" s="13">
        <v>0</v>
      </c>
      <c r="C68" s="13">
        <v>2793.57</v>
      </c>
      <c r="D68" s="13">
        <v>0</v>
      </c>
      <c r="E68" s="14">
        <f t="shared" si="11"/>
        <v>2793.57</v>
      </c>
      <c r="F68" s="14">
        <f t="shared" si="15"/>
        <v>833.33333333333337</v>
      </c>
      <c r="G68" s="13">
        <v>8396.23</v>
      </c>
      <c r="H68" s="14">
        <f t="shared" si="13"/>
        <v>5833.3333333333339</v>
      </c>
      <c r="I68" s="13">
        <v>10000</v>
      </c>
      <c r="J68" s="34">
        <f t="shared" si="14"/>
        <v>0.83962300000000001</v>
      </c>
    </row>
    <row r="69" spans="1:19" x14ac:dyDescent="0.2">
      <c r="A69" s="11" t="s">
        <v>54</v>
      </c>
      <c r="B69" s="13">
        <v>0</v>
      </c>
      <c r="C69" s="13">
        <v>0</v>
      </c>
      <c r="D69" s="13">
        <v>0</v>
      </c>
      <c r="E69" s="14">
        <f t="shared" si="11"/>
        <v>0</v>
      </c>
      <c r="F69" s="14">
        <f t="shared" si="15"/>
        <v>4.166666666666667</v>
      </c>
      <c r="G69" s="13">
        <f t="shared" ref="G69:G70" si="16">E69</f>
        <v>0</v>
      </c>
      <c r="H69" s="14">
        <f t="shared" si="13"/>
        <v>29.166666666666668</v>
      </c>
      <c r="I69" s="13">
        <v>50</v>
      </c>
      <c r="J69" s="34">
        <f t="shared" si="14"/>
        <v>0</v>
      </c>
    </row>
    <row r="70" spans="1:19" x14ac:dyDescent="0.2">
      <c r="A70" s="11" t="s">
        <v>72</v>
      </c>
      <c r="B70" s="13">
        <v>0</v>
      </c>
      <c r="C70" s="13">
        <v>0</v>
      </c>
      <c r="D70" s="13">
        <v>0</v>
      </c>
      <c r="E70" s="14">
        <f t="shared" si="11"/>
        <v>0</v>
      </c>
      <c r="F70" s="14">
        <f t="shared" si="15"/>
        <v>1666.6666666666667</v>
      </c>
      <c r="G70" s="13">
        <f t="shared" si="16"/>
        <v>0</v>
      </c>
      <c r="H70" s="14">
        <f t="shared" si="13"/>
        <v>11666.666666666668</v>
      </c>
      <c r="I70" s="13">
        <v>20000</v>
      </c>
      <c r="J70" s="33">
        <f t="shared" si="14"/>
        <v>0</v>
      </c>
    </row>
    <row r="71" spans="1:19" x14ac:dyDescent="0.2">
      <c r="A71" s="11" t="s">
        <v>55</v>
      </c>
      <c r="B71" s="43">
        <f t="shared" ref="B71:H71" si="17">SUM(B24:B70)</f>
        <v>45432.859999999993</v>
      </c>
      <c r="C71" s="43">
        <f t="shared" si="17"/>
        <v>216271.63</v>
      </c>
      <c r="D71" s="44">
        <f t="shared" si="17"/>
        <v>25202.639999999999</v>
      </c>
      <c r="E71" s="43">
        <f t="shared" si="17"/>
        <v>286907.13000000006</v>
      </c>
      <c r="F71" s="43">
        <f t="shared" si="17"/>
        <v>363791.66666666663</v>
      </c>
      <c r="G71" s="44">
        <f t="shared" si="17"/>
        <v>2602504.5500000003</v>
      </c>
      <c r="H71" s="43">
        <f t="shared" si="17"/>
        <v>2546541.666666667</v>
      </c>
      <c r="I71" s="44">
        <f>SUM(I44:I70)+SUM(I24:I36)</f>
        <v>4365500</v>
      </c>
      <c r="J71" s="37">
        <f t="shared" si="14"/>
        <v>0.59615268583209258</v>
      </c>
    </row>
    <row r="72" spans="1:19" x14ac:dyDescent="0.2">
      <c r="B72" s="14"/>
      <c r="C72" s="14" t="s">
        <v>69</v>
      </c>
      <c r="D72" s="13"/>
      <c r="E72" s="14"/>
      <c r="F72" s="14"/>
      <c r="G72" s="13"/>
      <c r="H72" s="14"/>
      <c r="I72" s="13"/>
    </row>
    <row r="73" spans="1:19" ht="13.5" thickBot="1" x14ac:dyDescent="0.25">
      <c r="A73" s="11" t="s">
        <v>56</v>
      </c>
      <c r="B73" s="38">
        <f t="shared" ref="B73:G73" si="18">B19-B71</f>
        <v>-45432.859999999993</v>
      </c>
      <c r="C73" s="38">
        <f t="shared" si="18"/>
        <v>43812.580000000016</v>
      </c>
      <c r="D73" s="39">
        <f t="shared" si="18"/>
        <v>127663.21</v>
      </c>
      <c r="E73" s="38">
        <f t="shared" si="18"/>
        <v>121885.73999999993</v>
      </c>
      <c r="F73" s="38">
        <f t="shared" si="18"/>
        <v>0</v>
      </c>
      <c r="G73" s="39">
        <f t="shared" si="18"/>
        <v>116730.25000000047</v>
      </c>
      <c r="H73" s="10"/>
      <c r="I73" s="12"/>
    </row>
    <row r="74" spans="1:19" ht="13.5" thickTop="1" x14ac:dyDescent="0.2"/>
  </sheetData>
  <pageMargins left="0.7" right="0.7" top="0.75" bottom="0.75" header="0.3" footer="0.3"/>
  <pageSetup orientation="landscape" r:id="rId1"/>
  <rowBreaks count="1" manualBreakCount="1">
    <brk id="36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0FB7-2BA7-4C17-97B1-829371B25418}">
  <dimension ref="A1:T74"/>
  <sheetViews>
    <sheetView workbookViewId="0">
      <selection activeCell="J2" sqref="J2"/>
    </sheetView>
  </sheetViews>
  <sheetFormatPr defaultRowHeight="12.75" x14ac:dyDescent="0.2"/>
  <cols>
    <col min="1" max="1" width="22.7109375" style="10" customWidth="1"/>
    <col min="2" max="2" width="9.42578125" bestFit="1" customWidth="1"/>
    <col min="3" max="3" width="9.85546875" bestFit="1" customWidth="1"/>
    <col min="4" max="4" width="9.85546875" style="7" bestFit="1" customWidth="1"/>
    <col min="5" max="5" width="8.85546875" style="7" bestFit="1" customWidth="1"/>
    <col min="6" max="6" width="10.7109375" bestFit="1" customWidth="1"/>
    <col min="7" max="7" width="10.5703125" customWidth="1"/>
    <col min="8" max="8" width="11.28515625" style="7" bestFit="1" customWidth="1"/>
    <col min="9" max="9" width="11.28515625" bestFit="1" customWidth="1"/>
    <col min="10" max="10" width="11.28515625" style="7" bestFit="1" customWidth="1"/>
    <col min="11" max="11" width="8.5703125" bestFit="1" customWidth="1"/>
    <col min="12" max="12" width="11.7109375" bestFit="1" customWidth="1"/>
  </cols>
  <sheetData>
    <row r="1" spans="1:11" ht="15.75" x14ac:dyDescent="0.25">
      <c r="F1" s="31" t="s">
        <v>74</v>
      </c>
    </row>
    <row r="3" spans="1:11" ht="15.75" x14ac:dyDescent="0.25">
      <c r="F3" s="31" t="s">
        <v>94</v>
      </c>
    </row>
    <row r="4" spans="1:11" x14ac:dyDescent="0.2">
      <c r="K4" s="16">
        <v>0.58330000000000004</v>
      </c>
    </row>
    <row r="5" spans="1:11" x14ac:dyDescent="0.2">
      <c r="B5" s="42" t="s">
        <v>57</v>
      </c>
      <c r="C5" s="45" t="s">
        <v>58</v>
      </c>
      <c r="D5" s="41" t="s">
        <v>59</v>
      </c>
      <c r="E5" s="41" t="s">
        <v>93</v>
      </c>
      <c r="F5" s="42" t="s">
        <v>60</v>
      </c>
      <c r="G5" s="42" t="s">
        <v>61</v>
      </c>
      <c r="H5" s="41" t="s">
        <v>62</v>
      </c>
      <c r="I5" s="42" t="s">
        <v>62</v>
      </c>
      <c r="J5" s="41" t="s">
        <v>63</v>
      </c>
      <c r="K5" s="17" t="s">
        <v>65</v>
      </c>
    </row>
    <row r="6" spans="1:11" x14ac:dyDescent="0.2">
      <c r="A6" s="11" t="s">
        <v>0</v>
      </c>
      <c r="B6" s="42"/>
      <c r="C6" s="45"/>
      <c r="D6" s="41"/>
      <c r="E6" s="41"/>
      <c r="F6" s="42" t="s">
        <v>64</v>
      </c>
      <c r="G6" s="42" t="s">
        <v>65</v>
      </c>
      <c r="H6" s="41" t="s">
        <v>66</v>
      </c>
      <c r="I6" s="42" t="s">
        <v>67</v>
      </c>
      <c r="J6" s="41" t="s">
        <v>67</v>
      </c>
      <c r="K6" s="17" t="s">
        <v>75</v>
      </c>
    </row>
    <row r="7" spans="1:11" x14ac:dyDescent="0.2">
      <c r="A7" s="11" t="s">
        <v>1</v>
      </c>
      <c r="B7" s="13">
        <v>0</v>
      </c>
      <c r="C7" s="13">
        <v>0</v>
      </c>
      <c r="D7" s="13">
        <v>139452.12</v>
      </c>
      <c r="E7" s="13">
        <v>0</v>
      </c>
      <c r="F7" s="14">
        <v>136366.74</v>
      </c>
      <c r="G7" s="14">
        <f>J7/12</f>
        <v>148333.33333333334</v>
      </c>
      <c r="H7" s="13">
        <v>978887.52</v>
      </c>
      <c r="I7" s="14">
        <f>G7*7</f>
        <v>1038333.3333333334</v>
      </c>
      <c r="J7" s="13">
        <v>1780000</v>
      </c>
      <c r="K7" s="32">
        <f>+H7/J7</f>
        <v>0.54993680898876407</v>
      </c>
    </row>
    <row r="8" spans="1:11" x14ac:dyDescent="0.2">
      <c r="A8" s="11" t="s">
        <v>2</v>
      </c>
      <c r="B8" s="13">
        <v>0</v>
      </c>
      <c r="C8" s="13">
        <v>935.14</v>
      </c>
      <c r="D8" s="13">
        <v>6290.48</v>
      </c>
      <c r="E8" s="13">
        <v>0</v>
      </c>
      <c r="F8" s="14">
        <v>6153.81</v>
      </c>
      <c r="G8" s="14">
        <f t="shared" ref="G8:G18" si="0">J8/12</f>
        <v>6083.333333333333</v>
      </c>
      <c r="H8" s="13">
        <v>47492.77</v>
      </c>
      <c r="I8" s="14">
        <f t="shared" ref="I8:I18" si="1">G8*7</f>
        <v>42583.333333333328</v>
      </c>
      <c r="J8" s="13">
        <v>73000</v>
      </c>
      <c r="K8" s="32">
        <f t="shared" ref="K8:K19" si="2">+H8/J8</f>
        <v>0.65058589041095882</v>
      </c>
    </row>
    <row r="9" spans="1:11" x14ac:dyDescent="0.2">
      <c r="A9" s="11" t="s">
        <v>71</v>
      </c>
      <c r="B9" s="13">
        <v>0</v>
      </c>
      <c r="C9" s="13">
        <v>0</v>
      </c>
      <c r="D9" s="13">
        <v>0</v>
      </c>
      <c r="E9" s="13">
        <v>0</v>
      </c>
      <c r="F9" s="14">
        <f t="shared" ref="F9:F18" si="3">+B9+C9+D9</f>
        <v>0</v>
      </c>
      <c r="G9" s="14">
        <f t="shared" si="0"/>
        <v>1250</v>
      </c>
      <c r="H9" s="13">
        <f t="shared" ref="H9" si="4">F9</f>
        <v>0</v>
      </c>
      <c r="I9" s="14">
        <f t="shared" si="1"/>
        <v>8750</v>
      </c>
      <c r="J9" s="13">
        <v>15000</v>
      </c>
      <c r="K9" s="32">
        <f t="shared" si="2"/>
        <v>0</v>
      </c>
    </row>
    <row r="10" spans="1:11" x14ac:dyDescent="0.2">
      <c r="A10" s="11" t="s">
        <v>3</v>
      </c>
      <c r="B10" s="13">
        <v>0</v>
      </c>
      <c r="C10" s="13">
        <v>0</v>
      </c>
      <c r="D10" s="13">
        <v>917.59</v>
      </c>
      <c r="E10" s="13">
        <v>0</v>
      </c>
      <c r="F10" s="14">
        <f t="shared" si="3"/>
        <v>917.59</v>
      </c>
      <c r="G10" s="14">
        <f t="shared" si="0"/>
        <v>3333.3333333333335</v>
      </c>
      <c r="H10" s="13">
        <v>22271.03</v>
      </c>
      <c r="I10" s="14">
        <f t="shared" si="1"/>
        <v>23333.333333333336</v>
      </c>
      <c r="J10" s="13">
        <v>40000</v>
      </c>
      <c r="K10" s="32">
        <f t="shared" si="2"/>
        <v>0.55677575000000001</v>
      </c>
    </row>
    <row r="11" spans="1:11" x14ac:dyDescent="0.2">
      <c r="A11" s="11" t="s">
        <v>4</v>
      </c>
      <c r="B11" s="13">
        <v>0</v>
      </c>
      <c r="C11" s="13">
        <v>0</v>
      </c>
      <c r="D11" s="13">
        <v>6205.66</v>
      </c>
      <c r="E11" s="13">
        <v>0</v>
      </c>
      <c r="F11" s="14">
        <f t="shared" si="3"/>
        <v>6205.66</v>
      </c>
      <c r="G11" s="14">
        <f t="shared" si="0"/>
        <v>8333.3333333333339</v>
      </c>
      <c r="H11" s="13">
        <v>88341.8</v>
      </c>
      <c r="I11" s="14">
        <f t="shared" si="1"/>
        <v>58333.333333333336</v>
      </c>
      <c r="J11" s="13">
        <v>100000</v>
      </c>
      <c r="K11" s="32">
        <f t="shared" si="2"/>
        <v>0.88341800000000004</v>
      </c>
    </row>
    <row r="12" spans="1:11" x14ac:dyDescent="0.2">
      <c r="A12" s="11" t="s">
        <v>5</v>
      </c>
      <c r="B12" s="13">
        <v>0</v>
      </c>
      <c r="C12" s="13">
        <v>160632.13</v>
      </c>
      <c r="D12" s="13">
        <v>0</v>
      </c>
      <c r="E12" s="13">
        <v>0</v>
      </c>
      <c r="F12" s="14">
        <f t="shared" si="3"/>
        <v>160632.13</v>
      </c>
      <c r="G12" s="14">
        <f t="shared" si="0"/>
        <v>121666.66666666667</v>
      </c>
      <c r="H12" s="13">
        <v>948945.31</v>
      </c>
      <c r="I12" s="14">
        <f t="shared" si="1"/>
        <v>851666.66666666674</v>
      </c>
      <c r="J12" s="13">
        <v>1460000</v>
      </c>
      <c r="K12" s="32">
        <f t="shared" si="2"/>
        <v>0.64996254109589047</v>
      </c>
    </row>
    <row r="13" spans="1:11" x14ac:dyDescent="0.2">
      <c r="A13" s="11" t="s">
        <v>6</v>
      </c>
      <c r="B13" s="13">
        <v>0</v>
      </c>
      <c r="C13" s="13">
        <v>992.19</v>
      </c>
      <c r="D13" s="13">
        <v>0</v>
      </c>
      <c r="E13" s="13">
        <v>0</v>
      </c>
      <c r="F13" s="14">
        <f t="shared" si="3"/>
        <v>992.19</v>
      </c>
      <c r="G13" s="14">
        <f t="shared" si="0"/>
        <v>916.66666666666663</v>
      </c>
      <c r="H13" s="13">
        <v>4908.17</v>
      </c>
      <c r="I13" s="14">
        <f t="shared" si="1"/>
        <v>6416.6666666666661</v>
      </c>
      <c r="J13" s="13">
        <v>11000</v>
      </c>
      <c r="K13" s="32">
        <f t="shared" si="2"/>
        <v>0.44619727272727272</v>
      </c>
    </row>
    <row r="14" spans="1:11" x14ac:dyDescent="0.2">
      <c r="A14" s="11" t="s">
        <v>7</v>
      </c>
      <c r="B14" s="13">
        <v>0</v>
      </c>
      <c r="C14" s="13">
        <v>0</v>
      </c>
      <c r="D14" s="13">
        <v>0</v>
      </c>
      <c r="E14" s="13">
        <v>24168.1</v>
      </c>
      <c r="F14" s="14">
        <f t="shared" si="3"/>
        <v>0</v>
      </c>
      <c r="G14" s="14">
        <f t="shared" si="0"/>
        <v>15833.333333333334</v>
      </c>
      <c r="H14" s="13">
        <v>167266.68</v>
      </c>
      <c r="I14" s="14">
        <f t="shared" si="1"/>
        <v>110833.33333333334</v>
      </c>
      <c r="J14" s="13">
        <v>190000</v>
      </c>
      <c r="K14" s="32">
        <f t="shared" si="2"/>
        <v>0.88035094736842101</v>
      </c>
    </row>
    <row r="15" spans="1:11" x14ac:dyDescent="0.2">
      <c r="A15" s="11" t="s">
        <v>8</v>
      </c>
      <c r="B15" s="13">
        <v>0</v>
      </c>
      <c r="C15" s="13">
        <v>0</v>
      </c>
      <c r="D15" s="13">
        <v>0</v>
      </c>
      <c r="E15" s="13">
        <v>256.52999999999997</v>
      </c>
      <c r="F15" s="14">
        <f t="shared" si="3"/>
        <v>0</v>
      </c>
      <c r="G15" s="14">
        <f t="shared" si="0"/>
        <v>625</v>
      </c>
      <c r="H15" s="13">
        <v>2405.1799999999998</v>
      </c>
      <c r="I15" s="14">
        <f t="shared" si="1"/>
        <v>4375</v>
      </c>
      <c r="J15" s="13">
        <v>7500</v>
      </c>
      <c r="K15" s="32">
        <f t="shared" si="2"/>
        <v>0.32069066666666662</v>
      </c>
    </row>
    <row r="16" spans="1:11" x14ac:dyDescent="0.2">
      <c r="A16" s="11" t="s">
        <v>9</v>
      </c>
      <c r="B16" s="13">
        <v>0</v>
      </c>
      <c r="C16" s="13">
        <v>10205.86</v>
      </c>
      <c r="D16" s="13">
        <v>0</v>
      </c>
      <c r="E16" s="13">
        <v>0</v>
      </c>
      <c r="F16" s="14">
        <f t="shared" si="3"/>
        <v>10205.86</v>
      </c>
      <c r="G16" s="14">
        <f t="shared" si="0"/>
        <v>4166.666666666667</v>
      </c>
      <c r="H16" s="13">
        <v>34758.660000000003</v>
      </c>
      <c r="I16" s="14">
        <f t="shared" si="1"/>
        <v>29166.666666666668</v>
      </c>
      <c r="J16" s="13">
        <v>50000</v>
      </c>
      <c r="K16" s="32">
        <f t="shared" si="2"/>
        <v>0.69517320000000005</v>
      </c>
    </row>
    <row r="17" spans="1:12" x14ac:dyDescent="0.2">
      <c r="A17" s="11" t="s">
        <v>10</v>
      </c>
      <c r="B17" s="13">
        <v>0</v>
      </c>
      <c r="C17" s="13">
        <v>53588.14</v>
      </c>
      <c r="D17" s="13">
        <v>0</v>
      </c>
      <c r="E17" s="13">
        <v>0</v>
      </c>
      <c r="F17" s="14">
        <f t="shared" si="3"/>
        <v>53588.14</v>
      </c>
      <c r="G17" s="14">
        <f t="shared" si="0"/>
        <v>48666.666666666664</v>
      </c>
      <c r="H17" s="13">
        <v>354631</v>
      </c>
      <c r="I17" s="14">
        <f t="shared" si="1"/>
        <v>340666.66666666663</v>
      </c>
      <c r="J17" s="13">
        <v>584000</v>
      </c>
      <c r="K17" s="32">
        <f t="shared" si="2"/>
        <v>0.60724486301369862</v>
      </c>
    </row>
    <row r="18" spans="1:12" x14ac:dyDescent="0.2">
      <c r="A18" s="11" t="s">
        <v>11</v>
      </c>
      <c r="B18" s="13">
        <v>0</v>
      </c>
      <c r="C18" s="13">
        <v>0</v>
      </c>
      <c r="D18" s="13">
        <v>0</v>
      </c>
      <c r="E18" s="13">
        <v>9306.1200000000008</v>
      </c>
      <c r="F18" s="14">
        <f t="shared" si="3"/>
        <v>0</v>
      </c>
      <c r="G18" s="14">
        <f t="shared" si="0"/>
        <v>4583.333333333333</v>
      </c>
      <c r="H18" s="13">
        <v>69326.679999999993</v>
      </c>
      <c r="I18" s="14">
        <f t="shared" si="1"/>
        <v>32083.333333333332</v>
      </c>
      <c r="J18" s="13">
        <v>55000</v>
      </c>
      <c r="K18" s="33">
        <f t="shared" si="2"/>
        <v>1.2604850909090908</v>
      </c>
    </row>
    <row r="19" spans="1:12" x14ac:dyDescent="0.2">
      <c r="A19" s="11" t="s">
        <v>12</v>
      </c>
      <c r="B19" s="43">
        <f t="shared" ref="B19:J19" si="5">SUM(B7:B18)</f>
        <v>0</v>
      </c>
      <c r="C19" s="43">
        <f t="shared" si="5"/>
        <v>226353.46000000002</v>
      </c>
      <c r="D19" s="44">
        <f t="shared" si="5"/>
        <v>152865.85</v>
      </c>
      <c r="E19" s="44">
        <f t="shared" si="5"/>
        <v>33730.75</v>
      </c>
      <c r="F19" s="43">
        <f t="shared" si="5"/>
        <v>375062.12</v>
      </c>
      <c r="G19" s="43">
        <f t="shared" si="5"/>
        <v>363791.66666666674</v>
      </c>
      <c r="H19" s="44">
        <f t="shared" si="5"/>
        <v>2719234.8000000007</v>
      </c>
      <c r="I19" s="43">
        <f>SUM(I7:I18)</f>
        <v>2546541.6666666665</v>
      </c>
      <c r="J19" s="44">
        <f t="shared" si="5"/>
        <v>4365500</v>
      </c>
      <c r="K19" s="37">
        <f t="shared" si="2"/>
        <v>0.62289194823044347</v>
      </c>
      <c r="L19" s="2"/>
    </row>
    <row r="20" spans="1:12" x14ac:dyDescent="0.2">
      <c r="A20" s="11"/>
    </row>
    <row r="21" spans="1:12" x14ac:dyDescent="0.2">
      <c r="B21" s="42" t="s">
        <v>57</v>
      </c>
      <c r="C21" s="45" t="s">
        <v>58</v>
      </c>
      <c r="D21" s="41" t="s">
        <v>59</v>
      </c>
      <c r="E21" s="41" t="s">
        <v>93</v>
      </c>
      <c r="F21" s="42" t="s">
        <v>60</v>
      </c>
      <c r="G21" s="42" t="s">
        <v>61</v>
      </c>
      <c r="H21" s="41" t="s">
        <v>62</v>
      </c>
      <c r="I21" s="42" t="s">
        <v>62</v>
      </c>
      <c r="J21" s="41" t="s">
        <v>63</v>
      </c>
      <c r="K21" s="16">
        <f>+K4</f>
        <v>0.58330000000000004</v>
      </c>
    </row>
    <row r="22" spans="1:12" x14ac:dyDescent="0.2">
      <c r="A22" s="11"/>
      <c r="B22" s="42"/>
      <c r="C22" s="45"/>
      <c r="D22" s="41"/>
      <c r="E22" s="41"/>
      <c r="F22" s="42" t="s">
        <v>68</v>
      </c>
      <c r="G22" s="42" t="s">
        <v>65</v>
      </c>
      <c r="H22" s="41" t="s">
        <v>68</v>
      </c>
      <c r="I22" s="42" t="s">
        <v>67</v>
      </c>
      <c r="J22" s="41" t="s">
        <v>67</v>
      </c>
      <c r="K22" s="17" t="s">
        <v>65</v>
      </c>
    </row>
    <row r="23" spans="1:12" x14ac:dyDescent="0.2">
      <c r="A23" s="11" t="s">
        <v>13</v>
      </c>
      <c r="B23" s="42"/>
      <c r="C23" s="45"/>
      <c r="D23" s="41"/>
      <c r="E23" s="41"/>
      <c r="F23" s="42"/>
      <c r="G23" s="42"/>
      <c r="H23" s="41"/>
      <c r="I23" s="42"/>
      <c r="J23" s="41"/>
      <c r="K23" s="17" t="s">
        <v>75</v>
      </c>
    </row>
    <row r="24" spans="1:12" x14ac:dyDescent="0.2">
      <c r="A24" s="11" t="s">
        <v>14</v>
      </c>
      <c r="B24" s="13">
        <v>23655.38</v>
      </c>
      <c r="C24" s="13">
        <v>35662.26</v>
      </c>
      <c r="D24" s="13">
        <v>12145.6</v>
      </c>
      <c r="E24" s="13">
        <v>2314.89</v>
      </c>
      <c r="F24" s="14">
        <f t="shared" ref="F24:F36" si="6">B24+C24+D24</f>
        <v>71463.240000000005</v>
      </c>
      <c r="G24" s="14">
        <f t="shared" ref="G24:G36" si="7">J24/12</f>
        <v>85833.333333333328</v>
      </c>
      <c r="H24" s="13">
        <v>696524.78</v>
      </c>
      <c r="I24" s="14">
        <f t="shared" ref="I24:I36" si="8">G24*7</f>
        <v>600833.33333333326</v>
      </c>
      <c r="J24" s="13">
        <v>1030000</v>
      </c>
      <c r="K24" s="34">
        <f t="shared" ref="K24:K36" si="9">+H24/J24</f>
        <v>0.67623765048543694</v>
      </c>
    </row>
    <row r="25" spans="1:12" x14ac:dyDescent="0.2">
      <c r="A25" s="11" t="s">
        <v>15</v>
      </c>
      <c r="B25" s="13">
        <v>1896</v>
      </c>
      <c r="C25" s="13">
        <v>3130.06</v>
      </c>
      <c r="D25" s="13">
        <v>982.38</v>
      </c>
      <c r="E25" s="13">
        <v>202.26</v>
      </c>
      <c r="F25" s="14">
        <f t="shared" si="6"/>
        <v>6008.44</v>
      </c>
      <c r="G25" s="14">
        <f t="shared" si="7"/>
        <v>6666.666666666667</v>
      </c>
      <c r="H25" s="13">
        <v>58234.25</v>
      </c>
      <c r="I25" s="14">
        <f t="shared" si="8"/>
        <v>46666.666666666672</v>
      </c>
      <c r="J25" s="13">
        <v>80000</v>
      </c>
      <c r="K25" s="34">
        <f t="shared" si="9"/>
        <v>0.72792812500000004</v>
      </c>
    </row>
    <row r="26" spans="1:12" x14ac:dyDescent="0.2">
      <c r="A26" s="11" t="s">
        <v>16</v>
      </c>
      <c r="B26" s="13">
        <v>0</v>
      </c>
      <c r="C26" s="13">
        <v>0</v>
      </c>
      <c r="D26" s="13">
        <v>0</v>
      </c>
      <c r="E26" s="13">
        <v>0</v>
      </c>
      <c r="F26" s="14">
        <f t="shared" si="6"/>
        <v>0</v>
      </c>
      <c r="G26" s="14">
        <f t="shared" si="7"/>
        <v>625</v>
      </c>
      <c r="H26" s="13">
        <f t="shared" ref="H26:H35" si="10">F26</f>
        <v>0</v>
      </c>
      <c r="I26" s="14">
        <f t="shared" si="8"/>
        <v>4375</v>
      </c>
      <c r="J26" s="13">
        <v>7500</v>
      </c>
      <c r="K26" s="34">
        <f t="shared" si="9"/>
        <v>0</v>
      </c>
    </row>
    <row r="27" spans="1:12" x14ac:dyDescent="0.2">
      <c r="A27" s="11" t="s">
        <v>17</v>
      </c>
      <c r="B27" s="13">
        <v>1392.32</v>
      </c>
      <c r="C27" s="13">
        <v>509.6</v>
      </c>
      <c r="D27" s="13">
        <v>804.64</v>
      </c>
      <c r="E27" s="13">
        <v>0</v>
      </c>
      <c r="F27" s="14">
        <f t="shared" si="6"/>
        <v>2706.56</v>
      </c>
      <c r="G27" s="14">
        <f t="shared" si="7"/>
        <v>3600</v>
      </c>
      <c r="H27" s="13">
        <v>24796.28</v>
      </c>
      <c r="I27" s="14">
        <f t="shared" si="8"/>
        <v>25200</v>
      </c>
      <c r="J27" s="13">
        <v>43200</v>
      </c>
      <c r="K27" s="34">
        <f t="shared" si="9"/>
        <v>0.57398796296296295</v>
      </c>
    </row>
    <row r="28" spans="1:12" x14ac:dyDescent="0.2">
      <c r="A28" s="11" t="s">
        <v>18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8750</v>
      </c>
      <c r="H28" s="13">
        <v>105312.99</v>
      </c>
      <c r="I28" s="14">
        <f t="shared" si="8"/>
        <v>61250</v>
      </c>
      <c r="J28" s="13">
        <v>105000</v>
      </c>
      <c r="K28" s="34">
        <f t="shared" si="9"/>
        <v>1.0029808571428571</v>
      </c>
    </row>
    <row r="29" spans="1:12" x14ac:dyDescent="0.2">
      <c r="A29" s="11" t="s">
        <v>19</v>
      </c>
      <c r="B29" s="13">
        <v>0</v>
      </c>
      <c r="C29" s="13">
        <v>0</v>
      </c>
      <c r="D29" s="13">
        <v>0</v>
      </c>
      <c r="E29" s="13">
        <v>0</v>
      </c>
      <c r="F29" s="14">
        <f t="shared" si="6"/>
        <v>0</v>
      </c>
      <c r="G29" s="14">
        <f t="shared" si="7"/>
        <v>833.33333333333337</v>
      </c>
      <c r="H29" s="13">
        <f t="shared" si="10"/>
        <v>0</v>
      </c>
      <c r="I29" s="14">
        <f t="shared" si="8"/>
        <v>5833.3333333333339</v>
      </c>
      <c r="J29" s="13">
        <f>10000</f>
        <v>10000</v>
      </c>
      <c r="K29" s="34">
        <f t="shared" si="9"/>
        <v>0</v>
      </c>
    </row>
    <row r="30" spans="1:12" x14ac:dyDescent="0.2">
      <c r="A30" s="11" t="s">
        <v>20</v>
      </c>
      <c r="B30" s="13">
        <v>0</v>
      </c>
      <c r="C30" s="13">
        <v>0</v>
      </c>
      <c r="D30" s="13">
        <v>0</v>
      </c>
      <c r="E30" s="13">
        <v>0</v>
      </c>
      <c r="F30" s="14">
        <f t="shared" si="6"/>
        <v>0</v>
      </c>
      <c r="G30" s="14">
        <f t="shared" si="7"/>
        <v>2083.3333333333335</v>
      </c>
      <c r="H30" s="13">
        <v>14175</v>
      </c>
      <c r="I30" s="14">
        <f t="shared" si="8"/>
        <v>14583.333333333334</v>
      </c>
      <c r="J30" s="13">
        <v>25000</v>
      </c>
      <c r="K30" s="34">
        <f t="shared" si="9"/>
        <v>0.56699999999999995</v>
      </c>
    </row>
    <row r="31" spans="1:12" x14ac:dyDescent="0.2">
      <c r="A31" s="11" t="s">
        <v>21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1750</v>
      </c>
      <c r="H31" s="13">
        <v>8870.93</v>
      </c>
      <c r="I31" s="14">
        <f t="shared" si="8"/>
        <v>12250</v>
      </c>
      <c r="J31" s="13">
        <v>21000</v>
      </c>
      <c r="K31" s="34">
        <f t="shared" si="9"/>
        <v>0.42242523809523813</v>
      </c>
    </row>
    <row r="32" spans="1:12" x14ac:dyDescent="0.2">
      <c r="A32" s="11" t="s">
        <v>22</v>
      </c>
      <c r="B32" s="13">
        <v>0</v>
      </c>
      <c r="C32" s="13">
        <v>1056.0999999999999</v>
      </c>
      <c r="D32" s="13">
        <v>1056.51</v>
      </c>
      <c r="E32" s="13">
        <v>0</v>
      </c>
      <c r="F32" s="14">
        <f t="shared" si="6"/>
        <v>2112.6099999999997</v>
      </c>
      <c r="G32" s="14">
        <f t="shared" si="7"/>
        <v>2666.6666666666665</v>
      </c>
      <c r="H32" s="13">
        <v>12062.05</v>
      </c>
      <c r="I32" s="14">
        <f t="shared" si="8"/>
        <v>18666.666666666664</v>
      </c>
      <c r="J32" s="13">
        <v>32000</v>
      </c>
      <c r="K32" s="34">
        <f t="shared" si="9"/>
        <v>0.37693906249999998</v>
      </c>
    </row>
    <row r="33" spans="1:20" x14ac:dyDescent="0.2">
      <c r="A33" s="11" t="s">
        <v>23</v>
      </c>
      <c r="B33" s="13">
        <v>0</v>
      </c>
      <c r="C33" s="13">
        <v>3760.11</v>
      </c>
      <c r="D33" s="13">
        <v>3584.97</v>
      </c>
      <c r="E33" s="13">
        <v>0</v>
      </c>
      <c r="F33" s="14">
        <f t="shared" si="6"/>
        <v>7345.08</v>
      </c>
      <c r="G33" s="14">
        <f t="shared" si="7"/>
        <v>10833.333333333334</v>
      </c>
      <c r="H33" s="13">
        <v>59478.07</v>
      </c>
      <c r="I33" s="14">
        <f t="shared" si="8"/>
        <v>75833.333333333343</v>
      </c>
      <c r="J33" s="13">
        <v>130000</v>
      </c>
      <c r="K33" s="34">
        <f t="shared" si="9"/>
        <v>0.45752361538461539</v>
      </c>
    </row>
    <row r="34" spans="1:20" x14ac:dyDescent="0.2">
      <c r="A34" s="11" t="s">
        <v>24</v>
      </c>
      <c r="B34" s="13">
        <v>0</v>
      </c>
      <c r="C34" s="13">
        <v>0</v>
      </c>
      <c r="D34" s="13">
        <v>0</v>
      </c>
      <c r="E34" s="13">
        <v>0</v>
      </c>
      <c r="F34" s="14">
        <f t="shared" si="6"/>
        <v>0</v>
      </c>
      <c r="G34" s="14">
        <f t="shared" si="7"/>
        <v>1666.6666666666667</v>
      </c>
      <c r="H34" s="13">
        <v>788.18</v>
      </c>
      <c r="I34" s="14">
        <f t="shared" si="8"/>
        <v>11666.666666666668</v>
      </c>
      <c r="J34" s="13">
        <v>20000</v>
      </c>
      <c r="K34" s="34">
        <f t="shared" si="9"/>
        <v>3.9409E-2</v>
      </c>
    </row>
    <row r="35" spans="1:20" x14ac:dyDescent="0.2">
      <c r="A35" s="11" t="s">
        <v>25</v>
      </c>
      <c r="B35" s="13">
        <v>0</v>
      </c>
      <c r="C35" s="13">
        <v>0</v>
      </c>
      <c r="D35" s="13">
        <v>0</v>
      </c>
      <c r="E35" s="13">
        <v>0</v>
      </c>
      <c r="F35" s="14">
        <f t="shared" si="6"/>
        <v>0</v>
      </c>
      <c r="G35" s="14">
        <f t="shared" si="7"/>
        <v>250</v>
      </c>
      <c r="H35" s="13">
        <f t="shared" si="10"/>
        <v>0</v>
      </c>
      <c r="I35" s="14">
        <f t="shared" si="8"/>
        <v>1750</v>
      </c>
      <c r="J35" s="13">
        <f>1500+1500</f>
        <v>3000</v>
      </c>
      <c r="K35" s="34">
        <f t="shared" si="9"/>
        <v>0</v>
      </c>
    </row>
    <row r="36" spans="1:20" x14ac:dyDescent="0.2">
      <c r="A36" s="11" t="s">
        <v>26</v>
      </c>
      <c r="B36" s="13">
        <v>0</v>
      </c>
      <c r="C36" s="13">
        <v>9500</v>
      </c>
      <c r="D36" s="13">
        <v>0</v>
      </c>
      <c r="E36" s="13">
        <v>0</v>
      </c>
      <c r="F36" s="14">
        <f t="shared" si="6"/>
        <v>9500</v>
      </c>
      <c r="G36" s="14">
        <f t="shared" si="7"/>
        <v>29166.666666666668</v>
      </c>
      <c r="H36" s="13">
        <v>82519</v>
      </c>
      <c r="I36" s="14">
        <f t="shared" si="8"/>
        <v>204166.66666666669</v>
      </c>
      <c r="J36" s="13">
        <v>350000</v>
      </c>
      <c r="K36" s="34">
        <f t="shared" si="9"/>
        <v>0.23576857142857144</v>
      </c>
    </row>
    <row r="37" spans="1:20" x14ac:dyDescent="0.2">
      <c r="A37" s="11"/>
      <c r="B37" s="14"/>
      <c r="C37" s="13"/>
      <c r="D37" s="13"/>
      <c r="E37" s="13"/>
      <c r="F37" s="14"/>
      <c r="G37" s="14"/>
      <c r="H37" s="13"/>
      <c r="I37" s="14"/>
      <c r="J37" s="13"/>
    </row>
    <row r="38" spans="1:20" x14ac:dyDescent="0.2">
      <c r="A38" s="11"/>
      <c r="B38" s="2"/>
      <c r="C38" s="6"/>
      <c r="D38" s="6"/>
      <c r="E38" s="6"/>
      <c r="F38" s="2"/>
      <c r="G38" s="2"/>
      <c r="H38" s="6"/>
      <c r="I38" s="2"/>
      <c r="J38" s="6"/>
    </row>
    <row r="39" spans="1:20" x14ac:dyDescent="0.2">
      <c r="A39" s="11"/>
      <c r="B39" s="1"/>
      <c r="C39" s="7"/>
      <c r="D39" s="8"/>
      <c r="E39" s="8"/>
      <c r="F39" s="1"/>
      <c r="G39" s="1"/>
      <c r="H39" s="8"/>
      <c r="I39" s="1"/>
      <c r="J39" s="8"/>
      <c r="L39" s="1"/>
      <c r="M39" s="1"/>
      <c r="O39" s="1"/>
      <c r="P39" s="1"/>
      <c r="Q39" s="1"/>
      <c r="R39" s="1"/>
      <c r="S39" s="1"/>
      <c r="T39" s="1"/>
    </row>
    <row r="40" spans="1:20" x14ac:dyDescent="0.2">
      <c r="A40" s="11"/>
      <c r="B40" s="2"/>
      <c r="C40" s="6"/>
      <c r="D40" s="6"/>
      <c r="E40" s="6"/>
      <c r="F40" s="2"/>
      <c r="G40" s="2"/>
      <c r="H40" s="6"/>
      <c r="I40" s="2"/>
      <c r="J40" s="6"/>
      <c r="L40" s="1"/>
      <c r="M40" s="2"/>
      <c r="N40" s="2"/>
      <c r="O40" s="2"/>
      <c r="P40" s="2"/>
      <c r="Q40" s="2"/>
      <c r="R40" s="2"/>
      <c r="S40" s="2"/>
      <c r="T40" s="2"/>
    </row>
    <row r="41" spans="1:20" x14ac:dyDescent="0.2">
      <c r="B41" s="42" t="s">
        <v>57</v>
      </c>
      <c r="C41" s="46" t="s">
        <v>58</v>
      </c>
      <c r="D41" s="41" t="s">
        <v>59</v>
      </c>
      <c r="E41" s="41" t="s">
        <v>93</v>
      </c>
      <c r="F41" s="42" t="s">
        <v>60</v>
      </c>
      <c r="G41" s="42" t="s">
        <v>61</v>
      </c>
      <c r="H41" s="41" t="s">
        <v>62</v>
      </c>
      <c r="I41" s="42" t="s">
        <v>62</v>
      </c>
      <c r="J41" s="41" t="s">
        <v>63</v>
      </c>
      <c r="K41" s="16">
        <f>+K4</f>
        <v>0.58330000000000004</v>
      </c>
      <c r="L41" s="1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11"/>
      <c r="B42" s="42"/>
      <c r="C42" s="46"/>
      <c r="D42" s="41"/>
      <c r="E42" s="41"/>
      <c r="F42" s="42" t="s">
        <v>68</v>
      </c>
      <c r="G42" s="42" t="s">
        <v>65</v>
      </c>
      <c r="H42" s="41" t="s">
        <v>68</v>
      </c>
      <c r="I42" s="42" t="s">
        <v>67</v>
      </c>
      <c r="J42" s="41" t="s">
        <v>67</v>
      </c>
      <c r="K42" s="17" t="s">
        <v>65</v>
      </c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42"/>
      <c r="C43" s="46"/>
      <c r="D43" s="41"/>
      <c r="E43" s="41"/>
      <c r="F43" s="42"/>
      <c r="G43" s="42"/>
      <c r="H43" s="41"/>
      <c r="I43" s="42"/>
      <c r="J43" s="41"/>
      <c r="K43" s="17" t="s">
        <v>75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 t="s">
        <v>27</v>
      </c>
      <c r="B44" s="6">
        <v>4799.3999999999996</v>
      </c>
      <c r="C44" s="6">
        <v>7687.86</v>
      </c>
      <c r="D44" s="6">
        <v>4053.4</v>
      </c>
      <c r="E44" s="6">
        <v>236.4</v>
      </c>
      <c r="F44" s="2">
        <f t="shared" ref="F44:F70" si="11">B44+C44+D44</f>
        <v>16540.66</v>
      </c>
      <c r="G44" s="2">
        <f t="shared" ref="G44:G46" si="12">J44/12</f>
        <v>16500</v>
      </c>
      <c r="H44" s="6">
        <v>119228.19</v>
      </c>
      <c r="I44" s="14">
        <f t="shared" ref="I44:I70" si="13">G44*7</f>
        <v>115500</v>
      </c>
      <c r="J44" s="6">
        <v>198000</v>
      </c>
      <c r="K44" s="34">
        <f t="shared" ref="K44:K71" si="14">+H44/J44</f>
        <v>0.60216257575757581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 t="s">
        <v>28</v>
      </c>
      <c r="B45" s="13">
        <v>0</v>
      </c>
      <c r="C45" s="13">
        <v>0</v>
      </c>
      <c r="D45" s="13">
        <v>0</v>
      </c>
      <c r="E45" s="13">
        <v>0</v>
      </c>
      <c r="F45" s="14">
        <f t="shared" si="11"/>
        <v>0</v>
      </c>
      <c r="G45" s="14">
        <f t="shared" si="12"/>
        <v>25520.833333333332</v>
      </c>
      <c r="H45" s="13">
        <v>293204</v>
      </c>
      <c r="I45" s="14">
        <f t="shared" si="13"/>
        <v>178645.83333333331</v>
      </c>
      <c r="J45" s="13">
        <v>306250</v>
      </c>
      <c r="K45" s="34">
        <f t="shared" si="14"/>
        <v>0.95740081632653062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29</v>
      </c>
      <c r="B46" s="13">
        <v>0</v>
      </c>
      <c r="C46" s="13">
        <v>0</v>
      </c>
      <c r="D46" s="13">
        <v>0</v>
      </c>
      <c r="E46" s="13">
        <v>0</v>
      </c>
      <c r="F46" s="14">
        <f t="shared" si="11"/>
        <v>0</v>
      </c>
      <c r="G46" s="14">
        <f t="shared" si="12"/>
        <v>416.66666666666669</v>
      </c>
      <c r="H46" s="13">
        <v>1236.0899999999999</v>
      </c>
      <c r="I46" s="14">
        <f t="shared" si="13"/>
        <v>2916.666666666667</v>
      </c>
      <c r="J46" s="13">
        <f>2500+2500</f>
        <v>5000</v>
      </c>
      <c r="K46" s="34">
        <f t="shared" si="14"/>
        <v>0.24721799999999999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30</v>
      </c>
      <c r="B47" s="13">
        <v>0</v>
      </c>
      <c r="C47" s="13">
        <v>1086.67</v>
      </c>
      <c r="D47" s="13">
        <v>1081.67</v>
      </c>
      <c r="E47" s="13">
        <v>0</v>
      </c>
      <c r="F47" s="14">
        <f t="shared" si="11"/>
        <v>2168.34</v>
      </c>
      <c r="G47" s="14">
        <f>J47/12</f>
        <v>1333.3333333333333</v>
      </c>
      <c r="H47" s="13">
        <v>14657.28</v>
      </c>
      <c r="I47" s="14">
        <f t="shared" si="13"/>
        <v>9333.3333333333321</v>
      </c>
      <c r="J47" s="13">
        <f>8000+8000</f>
        <v>16000</v>
      </c>
      <c r="K47" s="34">
        <f t="shared" si="14"/>
        <v>0.91608000000000001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32</v>
      </c>
      <c r="B48" s="13">
        <v>0</v>
      </c>
      <c r="C48" s="13">
        <v>0</v>
      </c>
      <c r="D48" s="13">
        <v>0</v>
      </c>
      <c r="E48" s="13">
        <v>0</v>
      </c>
      <c r="F48" s="14">
        <f t="shared" si="11"/>
        <v>0</v>
      </c>
      <c r="G48" s="14">
        <f t="shared" ref="G48:G70" si="15">J48/12</f>
        <v>6500</v>
      </c>
      <c r="H48" s="13">
        <v>0</v>
      </c>
      <c r="I48" s="14">
        <f t="shared" si="13"/>
        <v>45500</v>
      </c>
      <c r="J48" s="13">
        <v>78000</v>
      </c>
      <c r="K48" s="34">
        <f t="shared" si="14"/>
        <v>0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33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 t="shared" si="15"/>
        <v>750</v>
      </c>
      <c r="H49" s="13">
        <v>1644.61</v>
      </c>
      <c r="I49" s="14">
        <f t="shared" si="13"/>
        <v>5250</v>
      </c>
      <c r="J49" s="13">
        <v>9000</v>
      </c>
      <c r="K49" s="34">
        <f t="shared" si="14"/>
        <v>0.18273444444444442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34</v>
      </c>
      <c r="B50" s="13">
        <v>0</v>
      </c>
      <c r="C50" s="13">
        <v>355.59</v>
      </c>
      <c r="D50" s="13">
        <v>412.91</v>
      </c>
      <c r="E50" s="13">
        <v>0</v>
      </c>
      <c r="F50" s="14">
        <f t="shared" si="11"/>
        <v>768.5</v>
      </c>
      <c r="G50" s="14">
        <f t="shared" si="15"/>
        <v>1250</v>
      </c>
      <c r="H50" s="13">
        <v>8259.6299999999992</v>
      </c>
      <c r="I50" s="14">
        <f t="shared" si="13"/>
        <v>8750</v>
      </c>
      <c r="J50" s="13">
        <v>15000</v>
      </c>
      <c r="K50" s="34">
        <f t="shared" si="14"/>
        <v>0.55064199999999996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35</v>
      </c>
      <c r="B51" s="13">
        <v>0</v>
      </c>
      <c r="C51" s="13">
        <v>2841.87</v>
      </c>
      <c r="D51" s="13">
        <v>1080.56</v>
      </c>
      <c r="E51" s="13">
        <v>0</v>
      </c>
      <c r="F51" s="14">
        <f t="shared" si="11"/>
        <v>3922.43</v>
      </c>
      <c r="G51" s="14">
        <f t="shared" si="15"/>
        <v>13750</v>
      </c>
      <c r="H51" s="13">
        <v>48854.55</v>
      </c>
      <c r="I51" s="14">
        <f t="shared" si="13"/>
        <v>96250</v>
      </c>
      <c r="J51" s="13">
        <v>165000</v>
      </c>
      <c r="K51" s="34">
        <f t="shared" si="14"/>
        <v>0.29608818181818186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36</v>
      </c>
      <c r="B52" s="13">
        <v>0</v>
      </c>
      <c r="C52" s="13">
        <v>117686.28</v>
      </c>
      <c r="D52" s="13">
        <v>0</v>
      </c>
      <c r="E52" s="13">
        <v>0</v>
      </c>
      <c r="F52" s="14">
        <f t="shared" si="11"/>
        <v>117686.28</v>
      </c>
      <c r="G52" s="14">
        <f t="shared" si="15"/>
        <v>91666.666666666672</v>
      </c>
      <c r="H52" s="13">
        <v>694289.56</v>
      </c>
      <c r="I52" s="14">
        <f t="shared" si="13"/>
        <v>641666.66666666674</v>
      </c>
      <c r="J52" s="13">
        <v>1100000</v>
      </c>
      <c r="K52" s="34">
        <f t="shared" si="14"/>
        <v>0.63117232727272732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37</v>
      </c>
      <c r="B53" s="13">
        <v>0</v>
      </c>
      <c r="C53" s="13">
        <v>0</v>
      </c>
      <c r="D53" s="13">
        <v>0</v>
      </c>
      <c r="E53" s="13">
        <v>0</v>
      </c>
      <c r="F53" s="14">
        <f t="shared" si="11"/>
        <v>0</v>
      </c>
      <c r="G53" s="14">
        <f t="shared" si="15"/>
        <v>875</v>
      </c>
      <c r="H53" s="13">
        <v>2605.59</v>
      </c>
      <c r="I53" s="14">
        <f t="shared" si="13"/>
        <v>6125</v>
      </c>
      <c r="J53" s="13">
        <v>10500</v>
      </c>
      <c r="K53" s="34">
        <f t="shared" si="14"/>
        <v>0.24815142857142858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38</v>
      </c>
      <c r="B54" s="13">
        <v>0</v>
      </c>
      <c r="C54" s="13">
        <v>0</v>
      </c>
      <c r="D54" s="13">
        <v>0</v>
      </c>
      <c r="E54" s="13">
        <v>5593</v>
      </c>
      <c r="F54" s="14">
        <f t="shared" si="11"/>
        <v>0</v>
      </c>
      <c r="G54" s="14">
        <f t="shared" si="15"/>
        <v>3333.3333333333335</v>
      </c>
      <c r="H54" s="13">
        <v>46487</v>
      </c>
      <c r="I54" s="14">
        <f t="shared" si="13"/>
        <v>23333.333333333336</v>
      </c>
      <c r="J54" s="13">
        <v>40000</v>
      </c>
      <c r="K54" s="34">
        <f t="shared" si="14"/>
        <v>1.162175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39</v>
      </c>
      <c r="B55" s="13">
        <v>0</v>
      </c>
      <c r="C55" s="13">
        <v>0</v>
      </c>
      <c r="D55" s="13">
        <v>0</v>
      </c>
      <c r="E55" s="13">
        <v>3118.98</v>
      </c>
      <c r="F55" s="14">
        <f t="shared" si="11"/>
        <v>0</v>
      </c>
      <c r="G55" s="14">
        <f t="shared" si="15"/>
        <v>625</v>
      </c>
      <c r="H55" s="13">
        <v>5642.16</v>
      </c>
      <c r="I55" s="14">
        <f t="shared" si="13"/>
        <v>4375</v>
      </c>
      <c r="J55" s="13">
        <v>7500</v>
      </c>
      <c r="K55" s="34">
        <f t="shared" si="14"/>
        <v>0.75228799999999996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40</v>
      </c>
      <c r="B56" s="13">
        <v>13.25</v>
      </c>
      <c r="C56" s="13">
        <v>0</v>
      </c>
      <c r="D56" s="13">
        <v>0</v>
      </c>
      <c r="E56" s="13">
        <v>0</v>
      </c>
      <c r="F56" s="14">
        <f t="shared" si="11"/>
        <v>13.25</v>
      </c>
      <c r="G56" s="14">
        <f t="shared" si="15"/>
        <v>875</v>
      </c>
      <c r="H56" s="13">
        <v>3270.64</v>
      </c>
      <c r="I56" s="14">
        <f t="shared" si="13"/>
        <v>6125</v>
      </c>
      <c r="J56" s="13">
        <v>10500</v>
      </c>
      <c r="K56" s="34">
        <f t="shared" si="14"/>
        <v>0.31148952380952377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41</v>
      </c>
      <c r="B57" s="13">
        <v>2283.75</v>
      </c>
      <c r="C57" s="13">
        <v>433.84</v>
      </c>
      <c r="D57" s="13">
        <v>0</v>
      </c>
      <c r="E57" s="13">
        <v>0</v>
      </c>
      <c r="F57" s="14">
        <f t="shared" si="11"/>
        <v>2717.59</v>
      </c>
      <c r="G57" s="14">
        <f t="shared" si="15"/>
        <v>2500</v>
      </c>
      <c r="H57" s="13">
        <v>28670.9</v>
      </c>
      <c r="I57" s="14">
        <f t="shared" si="13"/>
        <v>17500</v>
      </c>
      <c r="J57" s="13">
        <v>30000</v>
      </c>
      <c r="K57" s="34">
        <f t="shared" si="14"/>
        <v>0.95569666666666675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42</v>
      </c>
      <c r="B58" s="13">
        <v>0</v>
      </c>
      <c r="C58" s="13">
        <v>0</v>
      </c>
      <c r="D58" s="13">
        <v>0</v>
      </c>
      <c r="E58" s="13">
        <v>7693.15</v>
      </c>
      <c r="F58" s="14">
        <f t="shared" si="11"/>
        <v>0</v>
      </c>
      <c r="G58" s="14">
        <f t="shared" si="15"/>
        <v>13333.333333333334</v>
      </c>
      <c r="H58" s="13">
        <v>50105.88</v>
      </c>
      <c r="I58" s="14">
        <f t="shared" si="13"/>
        <v>93333.333333333343</v>
      </c>
      <c r="J58" s="13">
        <v>160000</v>
      </c>
      <c r="K58" s="34">
        <f t="shared" si="14"/>
        <v>0.31316174999999996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43</v>
      </c>
      <c r="B59" s="13">
        <v>0</v>
      </c>
      <c r="C59" s="13">
        <v>0</v>
      </c>
      <c r="D59" s="13">
        <v>0</v>
      </c>
      <c r="E59" s="13">
        <v>4388.47</v>
      </c>
      <c r="F59" s="14">
        <f t="shared" si="11"/>
        <v>0</v>
      </c>
      <c r="G59" s="14">
        <f t="shared" si="15"/>
        <v>3333.3333333333335</v>
      </c>
      <c r="H59" s="13">
        <v>30259.49</v>
      </c>
      <c r="I59" s="14">
        <f t="shared" si="13"/>
        <v>23333.333333333336</v>
      </c>
      <c r="J59" s="13">
        <v>40000</v>
      </c>
      <c r="K59" s="34">
        <f t="shared" si="14"/>
        <v>0.75648725000000006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44</v>
      </c>
      <c r="B60" s="13">
        <v>0</v>
      </c>
      <c r="C60" s="13">
        <v>0</v>
      </c>
      <c r="D60" s="13">
        <v>0</v>
      </c>
      <c r="E60" s="13">
        <v>0</v>
      </c>
      <c r="F60" s="14">
        <f t="shared" si="11"/>
        <v>0</v>
      </c>
      <c r="G60" s="14">
        <f t="shared" si="15"/>
        <v>1583.3333333333333</v>
      </c>
      <c r="H60" s="13">
        <v>22802</v>
      </c>
      <c r="I60" s="14">
        <f t="shared" si="13"/>
        <v>11083.333333333332</v>
      </c>
      <c r="J60" s="13">
        <v>19000</v>
      </c>
      <c r="K60" s="34">
        <f t="shared" si="14"/>
        <v>1.2001052631578948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45</v>
      </c>
      <c r="B61" s="13">
        <v>0</v>
      </c>
      <c r="C61" s="13">
        <v>691.27</v>
      </c>
      <c r="D61" s="13">
        <v>0</v>
      </c>
      <c r="E61" s="13">
        <v>0</v>
      </c>
      <c r="F61" s="14">
        <f t="shared" si="11"/>
        <v>691.27</v>
      </c>
      <c r="G61" s="14">
        <f t="shared" si="15"/>
        <v>1416.6666666666667</v>
      </c>
      <c r="H61" s="13">
        <v>11185.55</v>
      </c>
      <c r="I61" s="14">
        <f t="shared" si="13"/>
        <v>9916.6666666666679</v>
      </c>
      <c r="J61" s="13">
        <v>17000</v>
      </c>
      <c r="K61" s="34">
        <f t="shared" si="14"/>
        <v>0.65797352941176468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46</v>
      </c>
      <c r="B62" s="13">
        <v>0</v>
      </c>
      <c r="C62" s="13">
        <v>0</v>
      </c>
      <c r="D62" s="13">
        <v>0</v>
      </c>
      <c r="E62" s="13">
        <v>0</v>
      </c>
      <c r="F62" s="14">
        <f t="shared" si="11"/>
        <v>0</v>
      </c>
      <c r="G62" s="14">
        <f t="shared" si="15"/>
        <v>1666.6666666666667</v>
      </c>
      <c r="H62" s="13">
        <v>10571.79</v>
      </c>
      <c r="I62" s="14">
        <f t="shared" si="13"/>
        <v>11666.666666666668</v>
      </c>
      <c r="J62" s="13">
        <v>20000</v>
      </c>
      <c r="K62" s="34">
        <f t="shared" si="14"/>
        <v>0.52858950000000005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47</v>
      </c>
      <c r="B63" s="13">
        <v>11251.31</v>
      </c>
      <c r="C63" s="13">
        <v>0</v>
      </c>
      <c r="D63" s="13">
        <v>0</v>
      </c>
      <c r="E63" s="13">
        <v>0</v>
      </c>
      <c r="F63" s="14">
        <f t="shared" si="11"/>
        <v>11251.31</v>
      </c>
      <c r="G63" s="14">
        <f t="shared" si="15"/>
        <v>12541.666666666666</v>
      </c>
      <c r="H63" s="13">
        <v>86772.94</v>
      </c>
      <c r="I63" s="14">
        <f t="shared" si="13"/>
        <v>87791.666666666657</v>
      </c>
      <c r="J63" s="13">
        <v>150500</v>
      </c>
      <c r="K63" s="34">
        <f t="shared" si="14"/>
        <v>0.57656438538205979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48</v>
      </c>
      <c r="B64" s="13">
        <v>0</v>
      </c>
      <c r="C64" s="13">
        <v>0</v>
      </c>
      <c r="D64" s="13">
        <v>0</v>
      </c>
      <c r="E64" s="13">
        <v>0</v>
      </c>
      <c r="F64" s="14">
        <f t="shared" si="11"/>
        <v>0</v>
      </c>
      <c r="G64" s="14">
        <f t="shared" si="15"/>
        <v>83.333333333333329</v>
      </c>
      <c r="H64" s="13">
        <v>240</v>
      </c>
      <c r="I64" s="14">
        <f t="shared" si="13"/>
        <v>583.33333333333326</v>
      </c>
      <c r="J64" s="13">
        <v>1000</v>
      </c>
      <c r="K64" s="34">
        <f t="shared" si="14"/>
        <v>0.24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49</v>
      </c>
      <c r="B65" s="13">
        <v>141.44999999999999</v>
      </c>
      <c r="C65" s="13">
        <v>104.69</v>
      </c>
      <c r="D65" s="13">
        <v>0</v>
      </c>
      <c r="E65" s="13">
        <v>0</v>
      </c>
      <c r="F65" s="14">
        <f t="shared" si="11"/>
        <v>246.14</v>
      </c>
      <c r="G65" s="14">
        <f t="shared" si="15"/>
        <v>208.33333333333334</v>
      </c>
      <c r="H65" s="13">
        <v>1355.32</v>
      </c>
      <c r="I65" s="14">
        <f t="shared" si="13"/>
        <v>1458.3333333333335</v>
      </c>
      <c r="J65" s="13">
        <v>2500</v>
      </c>
      <c r="K65" s="34">
        <f t="shared" si="14"/>
        <v>0.54212799999999994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50</v>
      </c>
      <c r="B66" s="13">
        <v>0</v>
      </c>
      <c r="C66" s="13">
        <v>0</v>
      </c>
      <c r="D66" s="13">
        <v>0</v>
      </c>
      <c r="E66" s="13">
        <v>0</v>
      </c>
      <c r="F66" s="14">
        <f t="shared" si="11"/>
        <v>0</v>
      </c>
      <c r="G66" s="14">
        <f t="shared" si="15"/>
        <v>2500</v>
      </c>
      <c r="H66" s="13">
        <v>17190.5</v>
      </c>
      <c r="I66" s="14">
        <f t="shared" si="13"/>
        <v>17500</v>
      </c>
      <c r="J66" s="13">
        <v>30000</v>
      </c>
      <c r="K66" s="34">
        <f t="shared" si="14"/>
        <v>0.57301666666666662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52</v>
      </c>
      <c r="B67" s="13">
        <v>0</v>
      </c>
      <c r="C67" s="13">
        <v>5424.71</v>
      </c>
      <c r="D67" s="13">
        <v>0</v>
      </c>
      <c r="E67" s="13">
        <v>0</v>
      </c>
      <c r="F67" s="14">
        <f t="shared" si="11"/>
        <v>5424.71</v>
      </c>
      <c r="G67" s="14">
        <f t="shared" si="15"/>
        <v>4000</v>
      </c>
      <c r="H67" s="13">
        <v>32813.120000000003</v>
      </c>
      <c r="I67" s="14">
        <f t="shared" si="13"/>
        <v>28000</v>
      </c>
      <c r="J67" s="13">
        <v>48000</v>
      </c>
      <c r="K67" s="34">
        <f t="shared" si="14"/>
        <v>0.6836066666666667</v>
      </c>
      <c r="L67" s="1"/>
      <c r="M67" s="2"/>
      <c r="N67" s="2"/>
      <c r="O67" s="2"/>
      <c r="P67" s="3"/>
      <c r="R67" s="3"/>
    </row>
    <row r="68" spans="1:20" x14ac:dyDescent="0.2">
      <c r="A68" s="11" t="s">
        <v>53</v>
      </c>
      <c r="B68" s="13">
        <v>0</v>
      </c>
      <c r="C68" s="13">
        <v>2793.57</v>
      </c>
      <c r="D68" s="13">
        <v>0</v>
      </c>
      <c r="E68" s="13">
        <v>0</v>
      </c>
      <c r="F68" s="14">
        <f t="shared" si="11"/>
        <v>2793.57</v>
      </c>
      <c r="G68" s="14">
        <f t="shared" si="15"/>
        <v>833.33333333333337</v>
      </c>
      <c r="H68" s="13">
        <v>8396.23</v>
      </c>
      <c r="I68" s="14">
        <f t="shared" si="13"/>
        <v>5833.3333333333339</v>
      </c>
      <c r="J68" s="13">
        <v>10000</v>
      </c>
      <c r="K68" s="34">
        <f t="shared" si="14"/>
        <v>0.83962300000000001</v>
      </c>
    </row>
    <row r="69" spans="1:20" x14ac:dyDescent="0.2">
      <c r="A69" s="11" t="s">
        <v>54</v>
      </c>
      <c r="B69" s="13">
        <v>0</v>
      </c>
      <c r="C69" s="13">
        <v>0</v>
      </c>
      <c r="D69" s="13">
        <v>0</v>
      </c>
      <c r="E69" s="13">
        <v>0</v>
      </c>
      <c r="F69" s="14">
        <f t="shared" si="11"/>
        <v>0</v>
      </c>
      <c r="G69" s="14">
        <f t="shared" si="15"/>
        <v>4.166666666666667</v>
      </c>
      <c r="H69" s="13">
        <f t="shared" ref="H69:H70" si="16">F69</f>
        <v>0</v>
      </c>
      <c r="I69" s="14">
        <f t="shared" si="13"/>
        <v>29.166666666666668</v>
      </c>
      <c r="J69" s="13">
        <v>50</v>
      </c>
      <c r="K69" s="34">
        <f t="shared" si="14"/>
        <v>0</v>
      </c>
    </row>
    <row r="70" spans="1:20" x14ac:dyDescent="0.2">
      <c r="A70" s="11" t="s">
        <v>72</v>
      </c>
      <c r="B70" s="13">
        <v>0</v>
      </c>
      <c r="C70" s="13">
        <v>0</v>
      </c>
      <c r="D70" s="13">
        <v>0</v>
      </c>
      <c r="E70" s="13">
        <v>0</v>
      </c>
      <c r="F70" s="14">
        <f t="shared" si="11"/>
        <v>0</v>
      </c>
      <c r="G70" s="14">
        <f t="shared" si="15"/>
        <v>1666.6666666666667</v>
      </c>
      <c r="H70" s="13">
        <f t="shared" si="16"/>
        <v>0</v>
      </c>
      <c r="I70" s="14">
        <f t="shared" si="13"/>
        <v>11666.666666666668</v>
      </c>
      <c r="J70" s="13">
        <v>20000</v>
      </c>
      <c r="K70" s="33">
        <f t="shared" si="14"/>
        <v>0</v>
      </c>
    </row>
    <row r="71" spans="1:20" x14ac:dyDescent="0.2">
      <c r="A71" s="11" t="s">
        <v>55</v>
      </c>
      <c r="B71" s="43">
        <f t="shared" ref="B71:I71" si="17">SUM(B24:B70)</f>
        <v>45432.859999999993</v>
      </c>
      <c r="C71" s="43">
        <f t="shared" si="17"/>
        <v>192724.47999999998</v>
      </c>
      <c r="D71" s="44">
        <f t="shared" si="17"/>
        <v>25202.639999999999</v>
      </c>
      <c r="E71" s="44">
        <f t="shared" si="17"/>
        <v>23547.15</v>
      </c>
      <c r="F71" s="43">
        <f t="shared" si="17"/>
        <v>263359.98</v>
      </c>
      <c r="G71" s="43">
        <f t="shared" si="17"/>
        <v>363791.66666666663</v>
      </c>
      <c r="H71" s="44">
        <f t="shared" si="17"/>
        <v>2602504.5500000003</v>
      </c>
      <c r="I71" s="43">
        <f t="shared" si="17"/>
        <v>2546541.666666667</v>
      </c>
      <c r="J71" s="44">
        <f>SUM(J44:J70)+SUM(J24:J36)</f>
        <v>4365500</v>
      </c>
      <c r="K71" s="37">
        <f t="shared" si="14"/>
        <v>0.59615268583209258</v>
      </c>
    </row>
    <row r="72" spans="1:20" x14ac:dyDescent="0.2">
      <c r="B72" s="14"/>
      <c r="C72" s="14" t="s">
        <v>69</v>
      </c>
      <c r="D72" s="13"/>
      <c r="E72" s="13"/>
      <c r="F72" s="14"/>
      <c r="G72" s="14"/>
      <c r="H72" s="13"/>
      <c r="I72" s="14"/>
      <c r="J72" s="13"/>
    </row>
    <row r="73" spans="1:20" ht="13.5" thickBot="1" x14ac:dyDescent="0.25">
      <c r="A73" s="11" t="s">
        <v>56</v>
      </c>
      <c r="B73" s="38">
        <f t="shared" ref="B73:H73" si="18">B19-B71</f>
        <v>-45432.859999999993</v>
      </c>
      <c r="C73" s="38">
        <f t="shared" si="18"/>
        <v>33628.98000000004</v>
      </c>
      <c r="D73" s="39">
        <f t="shared" si="18"/>
        <v>127663.21</v>
      </c>
      <c r="E73" s="39">
        <f t="shared" si="18"/>
        <v>10183.599999999999</v>
      </c>
      <c r="F73" s="38">
        <f t="shared" si="18"/>
        <v>111702.14000000001</v>
      </c>
      <c r="G73" s="38">
        <f t="shared" si="18"/>
        <v>0</v>
      </c>
      <c r="H73" s="39">
        <f t="shared" si="18"/>
        <v>116730.25000000047</v>
      </c>
      <c r="I73" s="10"/>
      <c r="J73" s="12"/>
    </row>
    <row r="74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1"/>
  <sheetViews>
    <sheetView zoomScaleNormal="100" workbookViewId="0">
      <selection sqref="A1:XFD1048576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4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95</v>
      </c>
    </row>
    <row r="4" spans="1:10" x14ac:dyDescent="0.2">
      <c r="J4" s="16">
        <v>0.67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2" t="s">
        <v>61</v>
      </c>
      <c r="G5" s="48" t="s">
        <v>62</v>
      </c>
      <c r="H5" s="42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2" t="s">
        <v>65</v>
      </c>
      <c r="G6" s="48" t="s">
        <v>66</v>
      </c>
      <c r="H6" s="42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0</v>
      </c>
      <c r="D7" s="13">
        <v>138832.35</v>
      </c>
      <c r="E7" s="14">
        <v>136366.74</v>
      </c>
      <c r="F7" s="14">
        <f>I7/12</f>
        <v>148333.33333333334</v>
      </c>
      <c r="G7" s="15">
        <v>1117719.8700000001</v>
      </c>
      <c r="H7" s="14">
        <f>F7*7</f>
        <v>1038333.3333333334</v>
      </c>
      <c r="I7" s="13">
        <v>1780000</v>
      </c>
      <c r="J7" s="32">
        <f>+G7/I7</f>
        <v>0.62793251123595517</v>
      </c>
    </row>
    <row r="8" spans="1:10" x14ac:dyDescent="0.2">
      <c r="A8" s="11" t="s">
        <v>2</v>
      </c>
      <c r="B8" s="13">
        <v>0</v>
      </c>
      <c r="C8" s="13">
        <v>935.14</v>
      </c>
      <c r="D8" s="13">
        <v>6733.06</v>
      </c>
      <c r="E8" s="14">
        <v>6153.81</v>
      </c>
      <c r="F8" s="14">
        <f t="shared" ref="F8:F18" si="0">I8/12</f>
        <v>6083.333333333333</v>
      </c>
      <c r="G8" s="15">
        <v>55160.97</v>
      </c>
      <c r="H8" s="14">
        <f t="shared" ref="H8:H18" si="1">F8*7</f>
        <v>42583.333333333328</v>
      </c>
      <c r="I8" s="13">
        <v>73000</v>
      </c>
      <c r="J8" s="32">
        <f t="shared" ref="J8:J19" si="2">+G8/I8</f>
        <v>0.75562972602739731</v>
      </c>
    </row>
    <row r="9" spans="1:10" x14ac:dyDescent="0.2">
      <c r="A9" s="11" t="s">
        <v>71</v>
      </c>
      <c r="B9" s="13">
        <v>0</v>
      </c>
      <c r="C9" s="13">
        <v>0</v>
      </c>
      <c r="D9" s="13">
        <v>9662.6299999999992</v>
      </c>
      <c r="E9" s="14">
        <f t="shared" ref="E9:E18" si="3">+B9+C9+D9</f>
        <v>9662.6299999999992</v>
      </c>
      <c r="F9" s="14">
        <f t="shared" si="0"/>
        <v>1250</v>
      </c>
      <c r="G9" s="15">
        <f t="shared" ref="G9" si="4">E9</f>
        <v>9662.6299999999992</v>
      </c>
      <c r="H9" s="14">
        <f t="shared" si="1"/>
        <v>8750</v>
      </c>
      <c r="I9" s="13">
        <v>15000</v>
      </c>
      <c r="J9" s="32">
        <f t="shared" si="2"/>
        <v>0.64417533333333332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1605.95</v>
      </c>
      <c r="E10" s="14">
        <f t="shared" si="3"/>
        <v>1605.95</v>
      </c>
      <c r="F10" s="14">
        <f t="shared" si="0"/>
        <v>3333.3333333333335</v>
      </c>
      <c r="G10" s="15">
        <v>28836.54</v>
      </c>
      <c r="H10" s="14">
        <f t="shared" si="1"/>
        <v>23333.333333333336</v>
      </c>
      <c r="I10" s="13">
        <v>40000</v>
      </c>
      <c r="J10" s="32">
        <f t="shared" si="2"/>
        <v>0.72091349999999998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159.47999999999999</v>
      </c>
      <c r="E11" s="14">
        <f t="shared" si="3"/>
        <v>159.47999999999999</v>
      </c>
      <c r="F11" s="14">
        <f t="shared" si="0"/>
        <v>8333.3333333333339</v>
      </c>
      <c r="G11" s="15">
        <v>88501.28</v>
      </c>
      <c r="H11" s="14">
        <f t="shared" si="1"/>
        <v>58333.333333333336</v>
      </c>
      <c r="I11" s="13">
        <v>100000</v>
      </c>
      <c r="J11" s="32">
        <f t="shared" si="2"/>
        <v>0.88501279999999993</v>
      </c>
    </row>
    <row r="12" spans="1:10" x14ac:dyDescent="0.2">
      <c r="A12" s="11" t="s">
        <v>5</v>
      </c>
      <c r="B12" s="13">
        <v>0</v>
      </c>
      <c r="C12" s="13">
        <v>93548.18</v>
      </c>
      <c r="D12" s="13">
        <v>0</v>
      </c>
      <c r="E12" s="14">
        <f t="shared" si="3"/>
        <v>93548.18</v>
      </c>
      <c r="F12" s="14">
        <f t="shared" si="0"/>
        <v>121666.66666666667</v>
      </c>
      <c r="G12" s="15">
        <v>1042493.49</v>
      </c>
      <c r="H12" s="14">
        <f t="shared" si="1"/>
        <v>851666.66666666674</v>
      </c>
      <c r="I12" s="13">
        <v>1460000</v>
      </c>
      <c r="J12" s="32">
        <f t="shared" si="2"/>
        <v>0.71403663698630138</v>
      </c>
    </row>
    <row r="13" spans="1:10" x14ac:dyDescent="0.2">
      <c r="A13" s="11" t="s">
        <v>6</v>
      </c>
      <c r="B13" s="13">
        <v>0</v>
      </c>
      <c r="C13" s="13">
        <v>1577.99</v>
      </c>
      <c r="D13" s="13">
        <v>0</v>
      </c>
      <c r="E13" s="14">
        <f t="shared" si="3"/>
        <v>1577.99</v>
      </c>
      <c r="F13" s="14">
        <f t="shared" si="0"/>
        <v>916.66666666666663</v>
      </c>
      <c r="G13" s="15">
        <v>6486.16</v>
      </c>
      <c r="H13" s="14">
        <f t="shared" si="1"/>
        <v>6416.6666666666661</v>
      </c>
      <c r="I13" s="13">
        <v>11000</v>
      </c>
      <c r="J13" s="32">
        <f t="shared" si="2"/>
        <v>0.58965090909090911</v>
      </c>
    </row>
    <row r="14" spans="1:10" x14ac:dyDescent="0.2">
      <c r="A14" s="11" t="s">
        <v>7</v>
      </c>
      <c r="B14" s="13">
        <v>0</v>
      </c>
      <c r="C14" s="13">
        <v>15989.81</v>
      </c>
      <c r="D14" s="13">
        <v>0</v>
      </c>
      <c r="E14" s="14">
        <f t="shared" si="3"/>
        <v>15989.81</v>
      </c>
      <c r="F14" s="14">
        <f t="shared" si="0"/>
        <v>15833.333333333334</v>
      </c>
      <c r="G14" s="15">
        <v>183256.49</v>
      </c>
      <c r="H14" s="14">
        <f t="shared" si="1"/>
        <v>110833.33333333334</v>
      </c>
      <c r="I14" s="13">
        <v>190000</v>
      </c>
      <c r="J14" s="32">
        <f t="shared" si="2"/>
        <v>0.96450784210526308</v>
      </c>
    </row>
    <row r="15" spans="1:10" x14ac:dyDescent="0.2">
      <c r="A15" s="11" t="s">
        <v>8</v>
      </c>
      <c r="B15" s="13">
        <v>0</v>
      </c>
      <c r="C15" s="13">
        <v>270.52</v>
      </c>
      <c r="D15" s="13">
        <v>0</v>
      </c>
      <c r="E15" s="14">
        <f t="shared" si="3"/>
        <v>270.52</v>
      </c>
      <c r="F15" s="14">
        <f t="shared" si="0"/>
        <v>625</v>
      </c>
      <c r="G15" s="15">
        <v>2675.7</v>
      </c>
      <c r="H15" s="14">
        <f t="shared" si="1"/>
        <v>4375</v>
      </c>
      <c r="I15" s="13">
        <v>7500</v>
      </c>
      <c r="J15" s="32">
        <f t="shared" si="2"/>
        <v>0.35675999999999997</v>
      </c>
    </row>
    <row r="16" spans="1:10" x14ac:dyDescent="0.2">
      <c r="A16" s="11" t="s">
        <v>9</v>
      </c>
      <c r="B16" s="13">
        <v>0</v>
      </c>
      <c r="C16" s="13">
        <v>3928.81</v>
      </c>
      <c r="D16" s="13">
        <v>0</v>
      </c>
      <c r="E16" s="14">
        <f t="shared" si="3"/>
        <v>3928.81</v>
      </c>
      <c r="F16" s="14">
        <f t="shared" si="0"/>
        <v>4166.666666666667</v>
      </c>
      <c r="G16" s="15">
        <v>38687.47</v>
      </c>
      <c r="H16" s="14">
        <f t="shared" si="1"/>
        <v>29166.666666666668</v>
      </c>
      <c r="I16" s="13">
        <v>50000</v>
      </c>
      <c r="J16" s="32">
        <f t="shared" si="2"/>
        <v>0.77374940000000003</v>
      </c>
    </row>
    <row r="17" spans="1:11" x14ac:dyDescent="0.2">
      <c r="A17" s="11" t="s">
        <v>10</v>
      </c>
      <c r="B17" s="13">
        <v>0</v>
      </c>
      <c r="C17" s="13">
        <v>50161.71</v>
      </c>
      <c r="D17" s="13">
        <v>0</v>
      </c>
      <c r="E17" s="14">
        <f t="shared" si="3"/>
        <v>50161.71</v>
      </c>
      <c r="F17" s="14">
        <f t="shared" si="0"/>
        <v>48666.666666666664</v>
      </c>
      <c r="G17" s="15">
        <v>404792.71</v>
      </c>
      <c r="H17" s="14">
        <f t="shared" si="1"/>
        <v>340666.66666666663</v>
      </c>
      <c r="I17" s="13">
        <v>584000</v>
      </c>
      <c r="J17" s="32">
        <f t="shared" si="2"/>
        <v>0.69313820205479459</v>
      </c>
    </row>
    <row r="18" spans="1:11" x14ac:dyDescent="0.2">
      <c r="A18" s="11" t="s">
        <v>11</v>
      </c>
      <c r="B18" s="13">
        <v>0</v>
      </c>
      <c r="C18" s="13">
        <v>7491.94</v>
      </c>
      <c r="D18" s="13">
        <v>0</v>
      </c>
      <c r="E18" s="14">
        <f t="shared" si="3"/>
        <v>7491.94</v>
      </c>
      <c r="F18" s="14">
        <f t="shared" si="0"/>
        <v>4583.333333333333</v>
      </c>
      <c r="G18" s="15">
        <v>76818.62</v>
      </c>
      <c r="H18" s="14">
        <f t="shared" si="1"/>
        <v>32083.333333333332</v>
      </c>
      <c r="I18" s="13">
        <v>55000</v>
      </c>
      <c r="J18" s="33">
        <f t="shared" si="2"/>
        <v>1.3967021818181817</v>
      </c>
    </row>
    <row r="19" spans="1:11" x14ac:dyDescent="0.2">
      <c r="A19" s="11" t="s">
        <v>12</v>
      </c>
      <c r="B19" s="43">
        <f t="shared" ref="B19:I19" si="5">SUM(B7:B18)</f>
        <v>0</v>
      </c>
      <c r="C19" s="43">
        <f t="shared" si="5"/>
        <v>173904.1</v>
      </c>
      <c r="D19" s="44">
        <f t="shared" si="5"/>
        <v>156993.47000000003</v>
      </c>
      <c r="E19" s="43">
        <f t="shared" si="5"/>
        <v>326917.57000000007</v>
      </c>
      <c r="F19" s="43">
        <f t="shared" si="5"/>
        <v>363791.66666666674</v>
      </c>
      <c r="G19" s="49">
        <f t="shared" si="5"/>
        <v>3055091.9300000011</v>
      </c>
      <c r="H19" s="43">
        <f>SUM(H7:H18)</f>
        <v>2546541.6666666665</v>
      </c>
      <c r="I19" s="44">
        <f t="shared" si="5"/>
        <v>4365500</v>
      </c>
      <c r="J19" s="37">
        <f t="shared" si="2"/>
        <v>0.69982634978811153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2" t="s">
        <v>61</v>
      </c>
      <c r="G21" s="48" t="s">
        <v>62</v>
      </c>
      <c r="H21" s="42" t="s">
        <v>62</v>
      </c>
      <c r="I21" s="41" t="s">
        <v>63</v>
      </c>
      <c r="J21" s="16">
        <f>+J4</f>
        <v>0.67</v>
      </c>
    </row>
    <row r="22" spans="1:11" x14ac:dyDescent="0.2">
      <c r="A22" s="11"/>
      <c r="B22" s="42"/>
      <c r="C22" s="45"/>
      <c r="D22" s="41"/>
      <c r="E22" s="42" t="s">
        <v>68</v>
      </c>
      <c r="F22" s="42" t="s">
        <v>65</v>
      </c>
      <c r="G22" s="48" t="s">
        <v>68</v>
      </c>
      <c r="H22" s="42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2"/>
      <c r="G23" s="48"/>
      <c r="H23" s="42"/>
      <c r="I23" s="41"/>
      <c r="J23" s="17" t="s">
        <v>75</v>
      </c>
    </row>
    <row r="24" spans="1:11" x14ac:dyDescent="0.2">
      <c r="A24" s="11" t="s">
        <v>14</v>
      </c>
      <c r="B24" s="13">
        <v>29085.18</v>
      </c>
      <c r="C24" s="13">
        <v>43839.87</v>
      </c>
      <c r="D24" s="13">
        <v>15084</v>
      </c>
      <c r="E24" s="14">
        <f t="shared" ref="E24:E36" si="6">B24+C24+D24</f>
        <v>88009.05</v>
      </c>
      <c r="F24" s="14">
        <f t="shared" ref="F24:F36" si="7">I24/12</f>
        <v>85833.333333333328</v>
      </c>
      <c r="G24" s="15">
        <v>784533.83</v>
      </c>
      <c r="H24" s="14">
        <f t="shared" ref="H24:H36" si="8">F24*7</f>
        <v>600833.33333333326</v>
      </c>
      <c r="I24" s="13">
        <v>1030000</v>
      </c>
      <c r="J24" s="34">
        <f t="shared" ref="J24:J36" si="9">+G24/I24</f>
        <v>0.76168333009708733</v>
      </c>
    </row>
    <row r="25" spans="1:11" x14ac:dyDescent="0.2">
      <c r="A25" s="11" t="s">
        <v>15</v>
      </c>
      <c r="B25" s="13">
        <v>2296.59</v>
      </c>
      <c r="C25" s="13">
        <v>3735.24</v>
      </c>
      <c r="D25" s="13">
        <v>1219.72</v>
      </c>
      <c r="E25" s="14">
        <f t="shared" si="6"/>
        <v>7251.55</v>
      </c>
      <c r="F25" s="14">
        <f t="shared" si="7"/>
        <v>6666.666666666667</v>
      </c>
      <c r="G25" s="15">
        <v>65485.8</v>
      </c>
      <c r="H25" s="14">
        <f t="shared" si="8"/>
        <v>46666.666666666672</v>
      </c>
      <c r="I25" s="13">
        <v>80000</v>
      </c>
      <c r="J25" s="34">
        <f t="shared" si="9"/>
        <v>0.81857250000000004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6"/>
        <v>0</v>
      </c>
      <c r="F26" s="14">
        <f t="shared" si="7"/>
        <v>625</v>
      </c>
      <c r="G26" s="15">
        <f t="shared" ref="G26:G35" si="10">E26</f>
        <v>0</v>
      </c>
      <c r="H26" s="14">
        <f t="shared" si="8"/>
        <v>4375</v>
      </c>
      <c r="I26" s="13">
        <v>7500</v>
      </c>
      <c r="J26" s="34">
        <f t="shared" si="9"/>
        <v>0</v>
      </c>
    </row>
    <row r="27" spans="1:11" x14ac:dyDescent="0.2">
      <c r="A27" s="11" t="s">
        <v>17</v>
      </c>
      <c r="B27" s="13">
        <v>1265.8</v>
      </c>
      <c r="C27" s="13">
        <v>939</v>
      </c>
      <c r="D27" s="13">
        <v>1005.8</v>
      </c>
      <c r="E27" s="14">
        <f t="shared" si="6"/>
        <v>3210.6000000000004</v>
      </c>
      <c r="F27" s="14">
        <f t="shared" si="7"/>
        <v>3600</v>
      </c>
      <c r="G27" s="15">
        <v>28006.880000000001</v>
      </c>
      <c r="H27" s="14">
        <f t="shared" si="8"/>
        <v>25200</v>
      </c>
      <c r="I27" s="13">
        <v>43200</v>
      </c>
      <c r="J27" s="34">
        <f t="shared" si="9"/>
        <v>0.64830740740740744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8750</v>
      </c>
      <c r="G28" s="15">
        <v>105312.99</v>
      </c>
      <c r="H28" s="14">
        <f t="shared" si="8"/>
        <v>61250</v>
      </c>
      <c r="I28" s="13">
        <v>105000</v>
      </c>
      <c r="J28" s="34">
        <f t="shared" si="9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6"/>
        <v>0</v>
      </c>
      <c r="F29" s="14">
        <f t="shared" si="7"/>
        <v>833.33333333333337</v>
      </c>
      <c r="G29" s="15">
        <f t="shared" si="10"/>
        <v>0</v>
      </c>
      <c r="H29" s="14">
        <f t="shared" si="8"/>
        <v>5833.3333333333339</v>
      </c>
      <c r="I29" s="13">
        <f>10000</f>
        <v>10000</v>
      </c>
      <c r="J29" s="34">
        <f t="shared" si="9"/>
        <v>0</v>
      </c>
    </row>
    <row r="30" spans="1:11" x14ac:dyDescent="0.2">
      <c r="A30" s="11" t="s">
        <v>20</v>
      </c>
      <c r="B30" s="13">
        <v>0</v>
      </c>
      <c r="C30" s="13">
        <v>0</v>
      </c>
      <c r="D30" s="13">
        <v>0</v>
      </c>
      <c r="E30" s="14">
        <f t="shared" si="6"/>
        <v>0</v>
      </c>
      <c r="F30" s="14">
        <f t="shared" si="7"/>
        <v>2083.3333333333335</v>
      </c>
      <c r="G30" s="15">
        <v>14175</v>
      </c>
      <c r="H30" s="14">
        <f t="shared" si="8"/>
        <v>14583.333333333334</v>
      </c>
      <c r="I30" s="13">
        <v>25000</v>
      </c>
      <c r="J30" s="34">
        <f t="shared" si="9"/>
        <v>0.56699999999999995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1750</v>
      </c>
      <c r="G31" s="15">
        <v>8870.93</v>
      </c>
      <c r="H31" s="14">
        <f t="shared" si="8"/>
        <v>12250</v>
      </c>
      <c r="I31" s="13">
        <v>21000</v>
      </c>
      <c r="J31" s="34">
        <f t="shared" si="9"/>
        <v>0.42242523809523813</v>
      </c>
    </row>
    <row r="32" spans="1:11" x14ac:dyDescent="0.2">
      <c r="A32" s="11" t="s">
        <v>22</v>
      </c>
      <c r="B32" s="13">
        <v>0</v>
      </c>
      <c r="C32" s="13">
        <v>974.01</v>
      </c>
      <c r="D32" s="13">
        <v>898.15</v>
      </c>
      <c r="E32" s="14">
        <f t="shared" si="6"/>
        <v>1872.1599999999999</v>
      </c>
      <c r="F32" s="14">
        <f t="shared" si="7"/>
        <v>2666.6666666666665</v>
      </c>
      <c r="G32" s="15">
        <v>16238.05</v>
      </c>
      <c r="H32" s="14">
        <f t="shared" si="8"/>
        <v>18666.666666666664</v>
      </c>
      <c r="I32" s="13">
        <v>32000</v>
      </c>
      <c r="J32" s="34">
        <f t="shared" si="9"/>
        <v>0.50743906249999993</v>
      </c>
    </row>
    <row r="33" spans="1:19" x14ac:dyDescent="0.2">
      <c r="A33" s="11" t="s">
        <v>23</v>
      </c>
      <c r="B33" s="13">
        <v>9.98</v>
      </c>
      <c r="C33" s="13">
        <v>3795.19</v>
      </c>
      <c r="D33" s="13">
        <v>3650.94</v>
      </c>
      <c r="E33" s="14">
        <f t="shared" si="6"/>
        <v>7456.1100000000006</v>
      </c>
      <c r="F33" s="14">
        <f t="shared" si="7"/>
        <v>10833.333333333334</v>
      </c>
      <c r="G33" s="15">
        <v>68850.3</v>
      </c>
      <c r="H33" s="14">
        <f t="shared" si="8"/>
        <v>75833.333333333343</v>
      </c>
      <c r="I33" s="13">
        <v>130000</v>
      </c>
      <c r="J33" s="34">
        <f t="shared" si="9"/>
        <v>0.52961769230769229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0</v>
      </c>
      <c r="E34" s="14">
        <f t="shared" si="6"/>
        <v>0</v>
      </c>
      <c r="F34" s="14">
        <f t="shared" si="7"/>
        <v>1666.6666666666667</v>
      </c>
      <c r="G34" s="15">
        <v>788.18</v>
      </c>
      <c r="H34" s="14">
        <f t="shared" si="8"/>
        <v>11666.666666666668</v>
      </c>
      <c r="I34" s="13">
        <v>20000</v>
      </c>
      <c r="J34" s="34">
        <f t="shared" si="9"/>
        <v>3.9409E-2</v>
      </c>
    </row>
    <row r="35" spans="1:19" ht="13.5" customHeight="1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6"/>
        <v>0</v>
      </c>
      <c r="F35" s="14">
        <f t="shared" si="7"/>
        <v>250</v>
      </c>
      <c r="G35" s="15">
        <f t="shared" si="10"/>
        <v>0</v>
      </c>
      <c r="H35" s="14">
        <f t="shared" si="8"/>
        <v>1750</v>
      </c>
      <c r="I35" s="13">
        <f>1500+1500</f>
        <v>3000</v>
      </c>
      <c r="J35" s="34">
        <f t="shared" si="9"/>
        <v>0</v>
      </c>
    </row>
    <row r="36" spans="1:19" x14ac:dyDescent="0.2">
      <c r="A36" s="11" t="s">
        <v>26</v>
      </c>
      <c r="B36" s="13">
        <v>0</v>
      </c>
      <c r="C36" s="13">
        <v>0</v>
      </c>
      <c r="D36" s="13">
        <v>0</v>
      </c>
      <c r="E36" s="14">
        <f t="shared" si="6"/>
        <v>0</v>
      </c>
      <c r="F36" s="14">
        <f t="shared" si="7"/>
        <v>29166.666666666668</v>
      </c>
      <c r="G36" s="15">
        <v>82519</v>
      </c>
      <c r="H36" s="14">
        <f t="shared" si="8"/>
        <v>204166.66666666669</v>
      </c>
      <c r="I36" s="13">
        <v>350000</v>
      </c>
      <c r="J36" s="34">
        <f t="shared" si="9"/>
        <v>0.23576857142857144</v>
      </c>
    </row>
    <row r="37" spans="1:19" x14ac:dyDescent="0.2">
      <c r="A37" s="11"/>
      <c r="B37" s="14"/>
      <c r="C37" s="13"/>
      <c r="D37" s="13"/>
      <c r="E37" s="14"/>
      <c r="F37" s="14"/>
      <c r="G37" s="15"/>
      <c r="H37" s="14"/>
      <c r="I37" s="13"/>
    </row>
    <row r="38" spans="1:19" x14ac:dyDescent="0.2">
      <c r="B38" s="42" t="s">
        <v>57</v>
      </c>
      <c r="C38" s="46" t="s">
        <v>58</v>
      </c>
      <c r="D38" s="41" t="s">
        <v>59</v>
      </c>
      <c r="E38" s="42" t="s">
        <v>60</v>
      </c>
      <c r="F38" s="42" t="s">
        <v>61</v>
      </c>
      <c r="G38" s="48" t="s">
        <v>62</v>
      </c>
      <c r="H38" s="42" t="s">
        <v>62</v>
      </c>
      <c r="I38" s="41" t="s">
        <v>63</v>
      </c>
      <c r="J38" s="16">
        <f>+J4</f>
        <v>0.67</v>
      </c>
      <c r="K38" s="1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1"/>
      <c r="B39" s="42"/>
      <c r="C39" s="46"/>
      <c r="D39" s="41"/>
      <c r="E39" s="42" t="s">
        <v>68</v>
      </c>
      <c r="F39" s="42" t="s">
        <v>65</v>
      </c>
      <c r="G39" s="48" t="s">
        <v>68</v>
      </c>
      <c r="H39" s="42" t="s">
        <v>67</v>
      </c>
      <c r="I39" s="41" t="s">
        <v>67</v>
      </c>
      <c r="J39" s="17" t="s">
        <v>65</v>
      </c>
      <c r="K39" s="1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1" t="s">
        <v>13</v>
      </c>
      <c r="B40" s="42"/>
      <c r="C40" s="46"/>
      <c r="D40" s="41"/>
      <c r="E40" s="42"/>
      <c r="F40" s="42"/>
      <c r="G40" s="48"/>
      <c r="H40" s="42"/>
      <c r="I40" s="41"/>
      <c r="J40" s="17" t="s">
        <v>75</v>
      </c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11" t="s">
        <v>27</v>
      </c>
      <c r="B41" s="6">
        <v>4712.3100000000004</v>
      </c>
      <c r="C41" s="6">
        <v>6906.74</v>
      </c>
      <c r="D41" s="6">
        <v>5768.59</v>
      </c>
      <c r="E41" s="2">
        <f t="shared" ref="E41:E67" si="11">B41+C41+D41</f>
        <v>17387.64</v>
      </c>
      <c r="F41" s="2">
        <f t="shared" ref="F41:F43" si="12">I41/12</f>
        <v>16500</v>
      </c>
      <c r="G41" s="9">
        <v>136615.82999999999</v>
      </c>
      <c r="H41" s="14">
        <f t="shared" ref="H41:H67" si="13">F41*7</f>
        <v>115500</v>
      </c>
      <c r="I41" s="6">
        <v>198000</v>
      </c>
      <c r="J41" s="34">
        <f t="shared" ref="J41:J68" si="14">+G41/I41</f>
        <v>0.68997893939393928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 t="s">
        <v>28</v>
      </c>
      <c r="B42" s="13">
        <v>0</v>
      </c>
      <c r="C42" s="13">
        <v>0</v>
      </c>
      <c r="D42" s="13">
        <v>0</v>
      </c>
      <c r="E42" s="14">
        <f t="shared" si="11"/>
        <v>0</v>
      </c>
      <c r="F42" s="14">
        <f t="shared" si="12"/>
        <v>25520.833333333332</v>
      </c>
      <c r="G42" s="15">
        <v>293204</v>
      </c>
      <c r="H42" s="14">
        <f t="shared" si="13"/>
        <v>178645.83333333331</v>
      </c>
      <c r="I42" s="13">
        <v>306250</v>
      </c>
      <c r="J42" s="34">
        <f t="shared" si="14"/>
        <v>0.95740081632653062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29</v>
      </c>
      <c r="B43" s="13">
        <v>0</v>
      </c>
      <c r="C43" s="13">
        <v>0</v>
      </c>
      <c r="D43" s="13">
        <v>0</v>
      </c>
      <c r="E43" s="14">
        <f t="shared" si="11"/>
        <v>0</v>
      </c>
      <c r="F43" s="14">
        <f t="shared" si="12"/>
        <v>416.66666666666669</v>
      </c>
      <c r="G43" s="15">
        <v>1236.0899999999999</v>
      </c>
      <c r="H43" s="14">
        <f t="shared" si="13"/>
        <v>2916.666666666667</v>
      </c>
      <c r="I43" s="13">
        <f>2500+2500</f>
        <v>5000</v>
      </c>
      <c r="J43" s="34">
        <f t="shared" si="14"/>
        <v>0.24721799999999999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30</v>
      </c>
      <c r="B44" s="13">
        <v>0</v>
      </c>
      <c r="C44" s="13">
        <v>0</v>
      </c>
      <c r="D44" s="13">
        <v>0</v>
      </c>
      <c r="E44" s="14">
        <f t="shared" si="11"/>
        <v>0</v>
      </c>
      <c r="F44" s="14">
        <f>I44/12</f>
        <v>1333.3333333333333</v>
      </c>
      <c r="G44" s="15">
        <v>14657.28</v>
      </c>
      <c r="H44" s="14">
        <f t="shared" si="13"/>
        <v>9333.3333333333321</v>
      </c>
      <c r="I44" s="13">
        <f>8000+8000</f>
        <v>16000</v>
      </c>
      <c r="J44" s="34">
        <f t="shared" si="14"/>
        <v>0.91608000000000001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32</v>
      </c>
      <c r="B45" s="13">
        <v>0</v>
      </c>
      <c r="C45" s="13">
        <v>0</v>
      </c>
      <c r="D45" s="13">
        <v>0</v>
      </c>
      <c r="E45" s="14">
        <f t="shared" si="11"/>
        <v>0</v>
      </c>
      <c r="F45" s="14">
        <f t="shared" ref="F45:F67" si="15">I45/12</f>
        <v>6500</v>
      </c>
      <c r="G45" s="15">
        <v>0</v>
      </c>
      <c r="H45" s="14">
        <f t="shared" si="13"/>
        <v>45500</v>
      </c>
      <c r="I45" s="13">
        <v>78000</v>
      </c>
      <c r="J45" s="34">
        <f t="shared" si="14"/>
        <v>0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33</v>
      </c>
      <c r="B46" s="13">
        <v>0</v>
      </c>
      <c r="C46" s="13">
        <v>0</v>
      </c>
      <c r="D46" s="13">
        <v>0</v>
      </c>
      <c r="E46" s="14">
        <f t="shared" si="11"/>
        <v>0</v>
      </c>
      <c r="F46" s="14">
        <f t="shared" si="15"/>
        <v>750</v>
      </c>
      <c r="G46" s="15">
        <v>1644.61</v>
      </c>
      <c r="H46" s="14">
        <f t="shared" si="13"/>
        <v>5250</v>
      </c>
      <c r="I46" s="13">
        <v>9000</v>
      </c>
      <c r="J46" s="34">
        <f t="shared" si="14"/>
        <v>0.18273444444444442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34</v>
      </c>
      <c r="B47" s="13">
        <v>0</v>
      </c>
      <c r="C47" s="13">
        <v>293.33999999999997</v>
      </c>
      <c r="D47" s="13">
        <v>39.340000000000003</v>
      </c>
      <c r="E47" s="14">
        <f t="shared" si="11"/>
        <v>332.67999999999995</v>
      </c>
      <c r="F47" s="14">
        <f t="shared" si="15"/>
        <v>1250</v>
      </c>
      <c r="G47" s="15">
        <v>8592.31</v>
      </c>
      <c r="H47" s="14">
        <f t="shared" si="13"/>
        <v>8750</v>
      </c>
      <c r="I47" s="13">
        <v>15000</v>
      </c>
      <c r="J47" s="34">
        <f t="shared" si="14"/>
        <v>0.57282066666666664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35</v>
      </c>
      <c r="B48" s="13">
        <v>0</v>
      </c>
      <c r="C48" s="13">
        <v>2676.56</v>
      </c>
      <c r="D48" s="13">
        <v>1356.28</v>
      </c>
      <c r="E48" s="14">
        <f t="shared" si="11"/>
        <v>4032.84</v>
      </c>
      <c r="F48" s="14">
        <f t="shared" si="15"/>
        <v>13750</v>
      </c>
      <c r="G48" s="15">
        <v>53036.94</v>
      </c>
      <c r="H48" s="14">
        <f t="shared" si="13"/>
        <v>96250</v>
      </c>
      <c r="I48" s="13">
        <v>165000</v>
      </c>
      <c r="J48" s="34">
        <f t="shared" si="14"/>
        <v>0.321436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36</v>
      </c>
      <c r="B49" s="13">
        <v>0</v>
      </c>
      <c r="C49" s="13">
        <v>71893.86</v>
      </c>
      <c r="D49" s="13">
        <v>0</v>
      </c>
      <c r="E49" s="14">
        <f t="shared" si="11"/>
        <v>71893.86</v>
      </c>
      <c r="F49" s="14">
        <f t="shared" si="15"/>
        <v>91666.666666666672</v>
      </c>
      <c r="G49" s="15">
        <v>766183.42</v>
      </c>
      <c r="H49" s="14">
        <f t="shared" si="13"/>
        <v>641666.66666666674</v>
      </c>
      <c r="I49" s="13">
        <v>1100000</v>
      </c>
      <c r="J49" s="34">
        <f t="shared" si="14"/>
        <v>0.69653038181818183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37</v>
      </c>
      <c r="B50" s="13">
        <v>0</v>
      </c>
      <c r="C50" s="13">
        <v>2188.98</v>
      </c>
      <c r="D50" s="13">
        <v>0</v>
      </c>
      <c r="E50" s="14">
        <f t="shared" si="11"/>
        <v>2188.98</v>
      </c>
      <c r="F50" s="14">
        <f t="shared" si="15"/>
        <v>875</v>
      </c>
      <c r="G50" s="15">
        <v>4794.57</v>
      </c>
      <c r="H50" s="14">
        <f t="shared" si="13"/>
        <v>6125</v>
      </c>
      <c r="I50" s="13">
        <v>10500</v>
      </c>
      <c r="J50" s="34">
        <f t="shared" si="14"/>
        <v>0.45662571428571425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38</v>
      </c>
      <c r="B51" s="13">
        <v>0</v>
      </c>
      <c r="C51" s="13">
        <v>6527.5</v>
      </c>
      <c r="D51" s="13">
        <v>0</v>
      </c>
      <c r="E51" s="14">
        <f t="shared" si="11"/>
        <v>6527.5</v>
      </c>
      <c r="F51" s="14">
        <f t="shared" si="15"/>
        <v>3333.3333333333335</v>
      </c>
      <c r="G51" s="15">
        <v>53014.5</v>
      </c>
      <c r="H51" s="14">
        <f t="shared" si="13"/>
        <v>23333.333333333336</v>
      </c>
      <c r="I51" s="13">
        <v>40000</v>
      </c>
      <c r="J51" s="34">
        <f t="shared" si="14"/>
        <v>1.3253625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39</v>
      </c>
      <c r="B52" s="13">
        <v>0</v>
      </c>
      <c r="C52" s="13">
        <v>969.92</v>
      </c>
      <c r="D52" s="13">
        <v>0</v>
      </c>
      <c r="E52" s="14">
        <f t="shared" si="11"/>
        <v>969.92</v>
      </c>
      <c r="F52" s="14">
        <f t="shared" si="15"/>
        <v>625</v>
      </c>
      <c r="G52" s="15">
        <v>6630.58</v>
      </c>
      <c r="H52" s="14">
        <f t="shared" si="13"/>
        <v>4375</v>
      </c>
      <c r="I52" s="13">
        <v>7500</v>
      </c>
      <c r="J52" s="34">
        <f t="shared" si="14"/>
        <v>0.88407733333333327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40</v>
      </c>
      <c r="B53" s="13">
        <v>3362.25</v>
      </c>
      <c r="C53" s="13">
        <v>173.16</v>
      </c>
      <c r="D53" s="13">
        <v>0</v>
      </c>
      <c r="E53" s="14">
        <f t="shared" si="11"/>
        <v>3535.41</v>
      </c>
      <c r="F53" s="14">
        <f t="shared" si="15"/>
        <v>875</v>
      </c>
      <c r="G53" s="15">
        <v>6806.05</v>
      </c>
      <c r="H53" s="14">
        <f t="shared" si="13"/>
        <v>6125</v>
      </c>
      <c r="I53" s="13">
        <v>10500</v>
      </c>
      <c r="J53" s="34">
        <f t="shared" si="14"/>
        <v>0.64819523809523816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41</v>
      </c>
      <c r="B54" s="13">
        <v>2824.07</v>
      </c>
      <c r="C54" s="13">
        <v>1344.7</v>
      </c>
      <c r="D54" s="13">
        <v>0</v>
      </c>
      <c r="E54" s="14">
        <f t="shared" si="11"/>
        <v>4168.7700000000004</v>
      </c>
      <c r="F54" s="14">
        <f t="shared" si="15"/>
        <v>2500</v>
      </c>
      <c r="G54" s="15">
        <v>33212.46</v>
      </c>
      <c r="H54" s="14">
        <f t="shared" si="13"/>
        <v>17500</v>
      </c>
      <c r="I54" s="13">
        <v>30000</v>
      </c>
      <c r="J54" s="34">
        <f t="shared" si="14"/>
        <v>1.1070819999999999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42</v>
      </c>
      <c r="B55" s="13">
        <v>0</v>
      </c>
      <c r="C55" s="13">
        <v>7035.37</v>
      </c>
      <c r="D55" s="13">
        <v>0</v>
      </c>
      <c r="E55" s="14">
        <f t="shared" si="11"/>
        <v>7035.37</v>
      </c>
      <c r="F55" s="14">
        <f t="shared" si="15"/>
        <v>13333.333333333334</v>
      </c>
      <c r="G55" s="15">
        <v>77316.25</v>
      </c>
      <c r="H55" s="14">
        <f t="shared" si="13"/>
        <v>93333.333333333343</v>
      </c>
      <c r="I55" s="13">
        <v>160000</v>
      </c>
      <c r="J55" s="34">
        <f t="shared" si="14"/>
        <v>0.48322656250000001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43</v>
      </c>
      <c r="B56" s="13">
        <v>0</v>
      </c>
      <c r="C56" s="13">
        <v>4707.92</v>
      </c>
      <c r="D56" s="13">
        <v>0</v>
      </c>
      <c r="E56" s="14">
        <f t="shared" si="11"/>
        <v>4707.92</v>
      </c>
      <c r="F56" s="14">
        <f t="shared" si="15"/>
        <v>3333.3333333333335</v>
      </c>
      <c r="G56" s="15">
        <v>34967.410000000003</v>
      </c>
      <c r="H56" s="14">
        <f t="shared" si="13"/>
        <v>23333.333333333336</v>
      </c>
      <c r="I56" s="13">
        <v>40000</v>
      </c>
      <c r="J56" s="34">
        <f t="shared" si="14"/>
        <v>0.87418525000000014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44</v>
      </c>
      <c r="B57" s="13">
        <v>0</v>
      </c>
      <c r="C57" s="13">
        <v>0</v>
      </c>
      <c r="D57" s="13">
        <v>0</v>
      </c>
      <c r="E57" s="14">
        <f t="shared" si="11"/>
        <v>0</v>
      </c>
      <c r="F57" s="14">
        <f t="shared" si="15"/>
        <v>1583.3333333333333</v>
      </c>
      <c r="G57" s="15">
        <v>22802</v>
      </c>
      <c r="H57" s="14">
        <f t="shared" si="13"/>
        <v>11083.333333333332</v>
      </c>
      <c r="I57" s="13">
        <v>19000</v>
      </c>
      <c r="J57" s="34">
        <f t="shared" si="14"/>
        <v>1.2001052631578948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45</v>
      </c>
      <c r="B58" s="13">
        <v>0</v>
      </c>
      <c r="C58" s="13">
        <v>612.37</v>
      </c>
      <c r="D58" s="13">
        <v>0</v>
      </c>
      <c r="E58" s="14">
        <f t="shared" si="11"/>
        <v>612.37</v>
      </c>
      <c r="F58" s="14">
        <f t="shared" si="15"/>
        <v>1416.6666666666667</v>
      </c>
      <c r="G58" s="15">
        <v>11797.92</v>
      </c>
      <c r="H58" s="14">
        <f t="shared" si="13"/>
        <v>9916.6666666666679</v>
      </c>
      <c r="I58" s="13">
        <v>17000</v>
      </c>
      <c r="J58" s="34">
        <f t="shared" si="14"/>
        <v>0.69399529411764704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46</v>
      </c>
      <c r="B59" s="13">
        <v>0</v>
      </c>
      <c r="C59" s="13">
        <v>0</v>
      </c>
      <c r="D59" s="13">
        <v>0</v>
      </c>
      <c r="E59" s="14">
        <f t="shared" si="11"/>
        <v>0</v>
      </c>
      <c r="F59" s="14">
        <f t="shared" si="15"/>
        <v>1666.6666666666667</v>
      </c>
      <c r="G59" s="15">
        <v>10571.79</v>
      </c>
      <c r="H59" s="14">
        <f t="shared" si="13"/>
        <v>11666.666666666668</v>
      </c>
      <c r="I59" s="13">
        <v>20000</v>
      </c>
      <c r="J59" s="34">
        <f t="shared" si="14"/>
        <v>0.52858950000000005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47</v>
      </c>
      <c r="B60" s="13">
        <v>11251.31</v>
      </c>
      <c r="C60" s="13">
        <v>0</v>
      </c>
      <c r="D60" s="13">
        <v>0</v>
      </c>
      <c r="E60" s="14">
        <f t="shared" si="11"/>
        <v>11251.31</v>
      </c>
      <c r="F60" s="14">
        <f t="shared" si="15"/>
        <v>12541.666666666666</v>
      </c>
      <c r="G60" s="15">
        <v>98024.25</v>
      </c>
      <c r="H60" s="14">
        <f t="shared" si="13"/>
        <v>87791.666666666657</v>
      </c>
      <c r="I60" s="13">
        <v>150500</v>
      </c>
      <c r="J60" s="34">
        <f t="shared" si="14"/>
        <v>0.65132392026578068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48</v>
      </c>
      <c r="B61" s="13">
        <v>0</v>
      </c>
      <c r="C61" s="13">
        <v>0</v>
      </c>
      <c r="D61" s="13">
        <v>0</v>
      </c>
      <c r="E61" s="14">
        <f t="shared" si="11"/>
        <v>0</v>
      </c>
      <c r="F61" s="14">
        <f t="shared" si="15"/>
        <v>83.333333333333329</v>
      </c>
      <c r="G61" s="15">
        <v>240</v>
      </c>
      <c r="H61" s="14">
        <f t="shared" si="13"/>
        <v>583.33333333333326</v>
      </c>
      <c r="I61" s="13">
        <v>1000</v>
      </c>
      <c r="J61" s="34">
        <f t="shared" si="14"/>
        <v>0.24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49</v>
      </c>
      <c r="B62" s="13">
        <v>0</v>
      </c>
      <c r="C62" s="13">
        <v>40.79</v>
      </c>
      <c r="D62" s="13">
        <v>7.5</v>
      </c>
      <c r="E62" s="14">
        <f t="shared" si="11"/>
        <v>48.29</v>
      </c>
      <c r="F62" s="14">
        <f t="shared" si="15"/>
        <v>208.33333333333334</v>
      </c>
      <c r="G62" s="15">
        <v>1403.61</v>
      </c>
      <c r="H62" s="14">
        <f t="shared" si="13"/>
        <v>1458.3333333333335</v>
      </c>
      <c r="I62" s="13">
        <v>2500</v>
      </c>
      <c r="J62" s="34">
        <f t="shared" si="14"/>
        <v>0.56144399999999994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50</v>
      </c>
      <c r="B63" s="13">
        <v>0</v>
      </c>
      <c r="C63" s="13">
        <v>0</v>
      </c>
      <c r="D63" s="13">
        <v>0</v>
      </c>
      <c r="E63" s="14">
        <f t="shared" si="11"/>
        <v>0</v>
      </c>
      <c r="F63" s="14">
        <f t="shared" si="15"/>
        <v>2500</v>
      </c>
      <c r="G63" s="15">
        <v>17190.5</v>
      </c>
      <c r="H63" s="14">
        <f t="shared" si="13"/>
        <v>17500</v>
      </c>
      <c r="I63" s="13">
        <v>30000</v>
      </c>
      <c r="J63" s="34">
        <f t="shared" si="14"/>
        <v>0.57301666666666662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52</v>
      </c>
      <c r="B64" s="13">
        <v>0</v>
      </c>
      <c r="C64" s="13">
        <v>4016.65</v>
      </c>
      <c r="D64" s="13">
        <v>0</v>
      </c>
      <c r="E64" s="14">
        <f t="shared" si="11"/>
        <v>4016.65</v>
      </c>
      <c r="F64" s="14">
        <f t="shared" si="15"/>
        <v>4000</v>
      </c>
      <c r="G64" s="15">
        <v>36887.4</v>
      </c>
      <c r="H64" s="14">
        <f t="shared" si="13"/>
        <v>28000</v>
      </c>
      <c r="I64" s="13">
        <v>48000</v>
      </c>
      <c r="J64" s="34">
        <f t="shared" si="14"/>
        <v>0.76848749999999999</v>
      </c>
      <c r="K64" s="1"/>
      <c r="L64" s="2"/>
      <c r="M64" s="2"/>
      <c r="N64" s="2"/>
      <c r="O64" s="3"/>
      <c r="Q64" s="3"/>
    </row>
    <row r="65" spans="1:10" x14ac:dyDescent="0.2">
      <c r="A65" s="11" t="s">
        <v>53</v>
      </c>
      <c r="B65" s="13">
        <v>0</v>
      </c>
      <c r="C65" s="13">
        <v>-164.99</v>
      </c>
      <c r="D65" s="13">
        <v>0</v>
      </c>
      <c r="E65" s="14">
        <f t="shared" si="11"/>
        <v>-164.99</v>
      </c>
      <c r="F65" s="14">
        <f t="shared" si="15"/>
        <v>833.33333333333337</v>
      </c>
      <c r="G65" s="15">
        <v>8231.24</v>
      </c>
      <c r="H65" s="14">
        <f t="shared" si="13"/>
        <v>5833.3333333333339</v>
      </c>
      <c r="I65" s="13">
        <v>10000</v>
      </c>
      <c r="J65" s="34">
        <f t="shared" si="14"/>
        <v>0.82312399999999997</v>
      </c>
    </row>
    <row r="66" spans="1:10" x14ac:dyDescent="0.2">
      <c r="A66" s="11" t="s">
        <v>54</v>
      </c>
      <c r="B66" s="13">
        <v>0</v>
      </c>
      <c r="C66" s="13">
        <v>0</v>
      </c>
      <c r="D66" s="13">
        <v>0</v>
      </c>
      <c r="E66" s="14">
        <f t="shared" si="11"/>
        <v>0</v>
      </c>
      <c r="F66" s="14">
        <f t="shared" si="15"/>
        <v>4.166666666666667</v>
      </c>
      <c r="G66" s="15">
        <f t="shared" ref="G66:G67" si="16">E66</f>
        <v>0</v>
      </c>
      <c r="H66" s="14">
        <f t="shared" si="13"/>
        <v>29.166666666666668</v>
      </c>
      <c r="I66" s="13">
        <v>50</v>
      </c>
      <c r="J66" s="34">
        <f t="shared" si="14"/>
        <v>0</v>
      </c>
    </row>
    <row r="67" spans="1:10" x14ac:dyDescent="0.2">
      <c r="A67" s="11" t="s">
        <v>72</v>
      </c>
      <c r="B67" s="13">
        <v>5975</v>
      </c>
      <c r="C67" s="13">
        <v>0</v>
      </c>
      <c r="D67" s="13">
        <v>0</v>
      </c>
      <c r="E67" s="14">
        <f t="shared" si="11"/>
        <v>5975</v>
      </c>
      <c r="F67" s="14">
        <f t="shared" si="15"/>
        <v>1666.6666666666667</v>
      </c>
      <c r="G67" s="15">
        <f t="shared" si="16"/>
        <v>5975</v>
      </c>
      <c r="H67" s="14">
        <f t="shared" si="13"/>
        <v>11666.666666666668</v>
      </c>
      <c r="I67" s="13">
        <v>20000</v>
      </c>
      <c r="J67" s="33">
        <f t="shared" si="14"/>
        <v>0.29875000000000002</v>
      </c>
    </row>
    <row r="68" spans="1:10" x14ac:dyDescent="0.2">
      <c r="A68" s="11" t="s">
        <v>55</v>
      </c>
      <c r="B68" s="43">
        <f t="shared" ref="B68:H68" si="17">SUM(B24:B67)</f>
        <v>60782.49</v>
      </c>
      <c r="C68" s="43">
        <f t="shared" si="17"/>
        <v>162506.18000000005</v>
      </c>
      <c r="D68" s="44">
        <f t="shared" si="17"/>
        <v>29030.32</v>
      </c>
      <c r="E68" s="43">
        <f t="shared" si="17"/>
        <v>252318.99000000002</v>
      </c>
      <c r="F68" s="43">
        <f t="shared" si="17"/>
        <v>363791.66666666663</v>
      </c>
      <c r="G68" s="49">
        <f t="shared" si="17"/>
        <v>2879816.97</v>
      </c>
      <c r="H68" s="43">
        <f t="shared" si="17"/>
        <v>2546541.666666667</v>
      </c>
      <c r="I68" s="44">
        <f>SUM(I41:I67)+SUM(I24:I36)</f>
        <v>4365500</v>
      </c>
      <c r="J68" s="37">
        <f t="shared" si="14"/>
        <v>0.65967631886381861</v>
      </c>
    </row>
    <row r="69" spans="1:10" x14ac:dyDescent="0.2">
      <c r="B69" s="14"/>
      <c r="C69" s="14" t="s">
        <v>69</v>
      </c>
      <c r="D69" s="13"/>
      <c r="E69" s="14"/>
      <c r="F69" s="14"/>
      <c r="G69" s="15"/>
      <c r="H69" s="14"/>
      <c r="I69" s="13"/>
    </row>
    <row r="70" spans="1:10" ht="13.5" thickBot="1" x14ac:dyDescent="0.25">
      <c r="A70" s="11" t="s">
        <v>56</v>
      </c>
      <c r="B70" s="38">
        <f t="shared" ref="B70:G70" si="18">B19-B68</f>
        <v>-60782.49</v>
      </c>
      <c r="C70" s="38">
        <f t="shared" si="18"/>
        <v>11397.919999999955</v>
      </c>
      <c r="D70" s="39">
        <f t="shared" si="18"/>
        <v>127963.15000000002</v>
      </c>
      <c r="E70" s="38">
        <f t="shared" si="18"/>
        <v>74598.580000000045</v>
      </c>
      <c r="F70" s="38">
        <f t="shared" si="18"/>
        <v>0</v>
      </c>
      <c r="G70" s="50">
        <f t="shared" si="18"/>
        <v>175274.96000000089</v>
      </c>
      <c r="H70" s="10"/>
      <c r="I70" s="12"/>
    </row>
    <row r="71" spans="1:10" ht="13.5" thickTop="1" x14ac:dyDescent="0.2"/>
  </sheetData>
  <pageMargins left="0.7" right="0.7" top="0.75" bottom="0.75" header="0.3" footer="0.3"/>
  <pageSetup orientation="landscape" r:id="rId1"/>
  <rowBreaks count="2" manualBreakCount="2">
    <brk id="36" max="16383" man="1"/>
    <brk id="70" max="1638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7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1" sqref="M21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96</v>
      </c>
    </row>
    <row r="4" spans="1:10" x14ac:dyDescent="0.2">
      <c r="F4" s="7"/>
      <c r="H4" s="7"/>
      <c r="J4" s="16">
        <v>0.75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1" t="s">
        <v>61</v>
      </c>
      <c r="G5" s="41" t="s">
        <v>62</v>
      </c>
      <c r="H5" s="41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1" t="s">
        <v>65</v>
      </c>
      <c r="G6" s="41" t="s">
        <v>66</v>
      </c>
      <c r="H6" s="41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0</v>
      </c>
      <c r="D7" s="13">
        <v>145134.35</v>
      </c>
      <c r="E7" s="14">
        <f>SUM(B7:D7)</f>
        <v>145134.35</v>
      </c>
      <c r="F7" s="13">
        <f>I7/12</f>
        <v>148333.33333333334</v>
      </c>
      <c r="G7" s="13">
        <v>1262854.22</v>
      </c>
      <c r="H7" s="13">
        <f>F7*7</f>
        <v>1038333.3333333334</v>
      </c>
      <c r="I7" s="13">
        <v>1780000</v>
      </c>
      <c r="J7" s="32">
        <f>+G7/I7</f>
        <v>0.70946866292134825</v>
      </c>
    </row>
    <row r="8" spans="1:10" x14ac:dyDescent="0.2">
      <c r="A8" s="11" t="s">
        <v>2</v>
      </c>
      <c r="B8" s="13">
        <v>0</v>
      </c>
      <c r="C8" s="13">
        <v>935.14</v>
      </c>
      <c r="D8" s="13">
        <v>6733.06</v>
      </c>
      <c r="E8" s="14">
        <f t="shared" ref="E8:E18" si="0">SUM(B8:D8)</f>
        <v>7668.2000000000007</v>
      </c>
      <c r="F8" s="13">
        <f t="shared" ref="F8:F18" si="1">I8/12</f>
        <v>6083.333333333333</v>
      </c>
      <c r="G8" s="13">
        <v>62829.17</v>
      </c>
      <c r="H8" s="13">
        <f t="shared" ref="H8:H18" si="2">F8*7</f>
        <v>42583.333333333328</v>
      </c>
      <c r="I8" s="13">
        <v>73000</v>
      </c>
      <c r="J8" s="32">
        <f t="shared" ref="J8:J19" si="3">+G8/I8</f>
        <v>0.86067356164383557</v>
      </c>
    </row>
    <row r="9" spans="1:10" x14ac:dyDescent="0.2">
      <c r="A9" s="11" t="s">
        <v>71</v>
      </c>
      <c r="B9" s="13">
        <v>0</v>
      </c>
      <c r="C9" s="13">
        <v>0</v>
      </c>
      <c r="D9" s="13">
        <v>0</v>
      </c>
      <c r="E9" s="14">
        <f t="shared" si="0"/>
        <v>0</v>
      </c>
      <c r="F9" s="13">
        <f t="shared" si="1"/>
        <v>1250</v>
      </c>
      <c r="G9" s="13">
        <v>9662.6299999999992</v>
      </c>
      <c r="H9" s="13">
        <f t="shared" si="2"/>
        <v>8750</v>
      </c>
      <c r="I9" s="13">
        <v>15000</v>
      </c>
      <c r="J9" s="32">
        <f t="shared" si="3"/>
        <v>0.64417533333333332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5104.87</v>
      </c>
      <c r="E10" s="14">
        <f t="shared" si="0"/>
        <v>5104.87</v>
      </c>
      <c r="F10" s="13">
        <f t="shared" si="1"/>
        <v>3333.3333333333335</v>
      </c>
      <c r="G10" s="13">
        <v>37282.21</v>
      </c>
      <c r="H10" s="13">
        <f t="shared" si="2"/>
        <v>23333.333333333336</v>
      </c>
      <c r="I10" s="13">
        <v>40000</v>
      </c>
      <c r="J10" s="32">
        <f t="shared" si="3"/>
        <v>0.93205525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159.47999999999999</v>
      </c>
      <c r="E11" s="14">
        <f t="shared" si="0"/>
        <v>159.47999999999999</v>
      </c>
      <c r="F11" s="13">
        <f t="shared" si="1"/>
        <v>8333.3333333333339</v>
      </c>
      <c r="G11" s="13">
        <v>88660.76</v>
      </c>
      <c r="H11" s="13">
        <f t="shared" si="2"/>
        <v>58333.333333333336</v>
      </c>
      <c r="I11" s="13">
        <v>100000</v>
      </c>
      <c r="J11" s="32">
        <f t="shared" si="3"/>
        <v>0.88660759999999994</v>
      </c>
    </row>
    <row r="12" spans="1:10" x14ac:dyDescent="0.2">
      <c r="A12" s="11" t="s">
        <v>5</v>
      </c>
      <c r="B12" s="13">
        <v>0</v>
      </c>
      <c r="C12" s="13">
        <v>97690.79</v>
      </c>
      <c r="D12" s="13">
        <v>0</v>
      </c>
      <c r="E12" s="14">
        <f t="shared" si="0"/>
        <v>97690.79</v>
      </c>
      <c r="F12" s="13">
        <f t="shared" si="1"/>
        <v>121666.66666666667</v>
      </c>
      <c r="G12" s="13">
        <v>1140184.08</v>
      </c>
      <c r="H12" s="13">
        <f t="shared" si="2"/>
        <v>851666.66666666674</v>
      </c>
      <c r="I12" s="13">
        <v>1460000</v>
      </c>
      <c r="J12" s="32">
        <f t="shared" si="3"/>
        <v>0.78094800000000009</v>
      </c>
    </row>
    <row r="13" spans="1:10" x14ac:dyDescent="0.2">
      <c r="A13" s="11" t="s">
        <v>6</v>
      </c>
      <c r="B13" s="13">
        <v>0</v>
      </c>
      <c r="C13" s="13">
        <v>366.15</v>
      </c>
      <c r="D13" s="13">
        <v>0</v>
      </c>
      <c r="E13" s="14">
        <f t="shared" si="0"/>
        <v>366.15</v>
      </c>
      <c r="F13" s="13">
        <f t="shared" si="1"/>
        <v>916.66666666666663</v>
      </c>
      <c r="G13" s="13">
        <v>6852.31</v>
      </c>
      <c r="H13" s="13">
        <f t="shared" si="2"/>
        <v>6416.6666666666661</v>
      </c>
      <c r="I13" s="13">
        <v>11000</v>
      </c>
      <c r="J13" s="32">
        <f t="shared" si="3"/>
        <v>0.62293727272727273</v>
      </c>
    </row>
    <row r="14" spans="1:10" x14ac:dyDescent="0.2">
      <c r="A14" s="11" t="s">
        <v>7</v>
      </c>
      <c r="B14" s="13">
        <v>0</v>
      </c>
      <c r="C14" s="13">
        <v>29270.86</v>
      </c>
      <c r="D14" s="13">
        <v>0</v>
      </c>
      <c r="E14" s="14">
        <f t="shared" si="0"/>
        <v>29270.86</v>
      </c>
      <c r="F14" s="13">
        <f t="shared" si="1"/>
        <v>15833.333333333334</v>
      </c>
      <c r="G14" s="13">
        <v>212527.35</v>
      </c>
      <c r="H14" s="13">
        <f t="shared" si="2"/>
        <v>110833.33333333334</v>
      </c>
      <c r="I14" s="13">
        <v>190000</v>
      </c>
      <c r="J14" s="32">
        <f t="shared" si="3"/>
        <v>1.118565</v>
      </c>
    </row>
    <row r="15" spans="1:10" x14ac:dyDescent="0.2">
      <c r="A15" s="11" t="s">
        <v>8</v>
      </c>
      <c r="B15" s="13">
        <v>0</v>
      </c>
      <c r="C15" s="13">
        <v>144.1</v>
      </c>
      <c r="D15" s="13">
        <v>0</v>
      </c>
      <c r="E15" s="14">
        <f t="shared" si="0"/>
        <v>144.1</v>
      </c>
      <c r="F15" s="13">
        <f t="shared" si="1"/>
        <v>625</v>
      </c>
      <c r="G15" s="13">
        <v>2819.8</v>
      </c>
      <c r="H15" s="13">
        <f t="shared" si="2"/>
        <v>4375</v>
      </c>
      <c r="I15" s="13">
        <v>7500</v>
      </c>
      <c r="J15" s="32">
        <f t="shared" si="3"/>
        <v>0.37597333333333338</v>
      </c>
    </row>
    <row r="16" spans="1:10" x14ac:dyDescent="0.2">
      <c r="A16" s="11" t="s">
        <v>9</v>
      </c>
      <c r="B16" s="13">
        <v>0</v>
      </c>
      <c r="C16" s="13">
        <v>4066.95</v>
      </c>
      <c r="D16" s="13">
        <v>0</v>
      </c>
      <c r="E16" s="14">
        <f t="shared" si="0"/>
        <v>4066.95</v>
      </c>
      <c r="F16" s="13">
        <f t="shared" si="1"/>
        <v>4166.666666666667</v>
      </c>
      <c r="G16" s="13">
        <v>42754.42</v>
      </c>
      <c r="H16" s="13">
        <f t="shared" si="2"/>
        <v>29166.666666666668</v>
      </c>
      <c r="I16" s="13">
        <v>50000</v>
      </c>
      <c r="J16" s="32">
        <f t="shared" si="3"/>
        <v>0.85508839999999997</v>
      </c>
    </row>
    <row r="17" spans="1:11" x14ac:dyDescent="0.2">
      <c r="A17" s="11" t="s">
        <v>10</v>
      </c>
      <c r="B17" s="13">
        <v>0</v>
      </c>
      <c r="C17" s="13">
        <v>50445.59</v>
      </c>
      <c r="D17" s="13">
        <v>0</v>
      </c>
      <c r="E17" s="14">
        <f t="shared" si="0"/>
        <v>50445.59</v>
      </c>
      <c r="F17" s="13">
        <f t="shared" si="1"/>
        <v>48666.666666666664</v>
      </c>
      <c r="G17" s="13">
        <v>455238.3</v>
      </c>
      <c r="H17" s="13">
        <f t="shared" si="2"/>
        <v>340666.66666666663</v>
      </c>
      <c r="I17" s="13">
        <v>584000</v>
      </c>
      <c r="J17" s="32">
        <f t="shared" si="3"/>
        <v>0.77951763698630139</v>
      </c>
    </row>
    <row r="18" spans="1:11" x14ac:dyDescent="0.2">
      <c r="A18" s="11" t="s">
        <v>11</v>
      </c>
      <c r="B18" s="13">
        <v>0</v>
      </c>
      <c r="C18" s="13">
        <v>10829.69</v>
      </c>
      <c r="D18" s="13">
        <v>0</v>
      </c>
      <c r="E18" s="14">
        <f t="shared" si="0"/>
        <v>10829.69</v>
      </c>
      <c r="F18" s="13">
        <f t="shared" si="1"/>
        <v>4583.333333333333</v>
      </c>
      <c r="G18" s="13">
        <v>87648.31</v>
      </c>
      <c r="H18" s="13">
        <f t="shared" si="2"/>
        <v>32083.333333333332</v>
      </c>
      <c r="I18" s="13">
        <v>55000</v>
      </c>
      <c r="J18" s="33">
        <f t="shared" si="3"/>
        <v>1.5936056363636364</v>
      </c>
    </row>
    <row r="19" spans="1:11" x14ac:dyDescent="0.2">
      <c r="A19" s="11" t="s">
        <v>12</v>
      </c>
      <c r="B19" s="43">
        <f t="shared" ref="B19:I19" si="4">SUM(B7:B18)</f>
        <v>0</v>
      </c>
      <c r="C19" s="43">
        <f t="shared" si="4"/>
        <v>193749.27</v>
      </c>
      <c r="D19" s="44">
        <f t="shared" si="4"/>
        <v>157131.76</v>
      </c>
      <c r="E19" s="43">
        <f t="shared" si="4"/>
        <v>350881.02999999997</v>
      </c>
      <c r="F19" s="43">
        <f t="shared" si="4"/>
        <v>363791.66666666674</v>
      </c>
      <c r="G19" s="44">
        <f t="shared" si="4"/>
        <v>3409313.5599999996</v>
      </c>
      <c r="H19" s="43">
        <f>SUM(H7:H18)</f>
        <v>2546541.6666666665</v>
      </c>
      <c r="I19" s="44">
        <f t="shared" si="4"/>
        <v>4365500</v>
      </c>
      <c r="J19" s="37">
        <f t="shared" si="3"/>
        <v>0.7809674859695338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1" t="s">
        <v>61</v>
      </c>
      <c r="G21" s="41" t="s">
        <v>62</v>
      </c>
      <c r="H21" s="41" t="s">
        <v>62</v>
      </c>
      <c r="I21" s="41" t="s">
        <v>63</v>
      </c>
      <c r="J21" s="16">
        <f>+J4</f>
        <v>0.75</v>
      </c>
    </row>
    <row r="22" spans="1:11" x14ac:dyDescent="0.2">
      <c r="A22" s="11"/>
      <c r="B22" s="42"/>
      <c r="C22" s="45"/>
      <c r="D22" s="41"/>
      <c r="E22" s="42" t="s">
        <v>68</v>
      </c>
      <c r="F22" s="41" t="s">
        <v>65</v>
      </c>
      <c r="G22" s="41" t="s">
        <v>68</v>
      </c>
      <c r="H22" s="41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1"/>
      <c r="G23" s="41"/>
      <c r="H23" s="41"/>
      <c r="I23" s="41"/>
      <c r="J23" s="17" t="s">
        <v>75</v>
      </c>
    </row>
    <row r="24" spans="1:11" x14ac:dyDescent="0.2">
      <c r="A24" s="11" t="s">
        <v>14</v>
      </c>
      <c r="B24" s="13">
        <v>23047.69</v>
      </c>
      <c r="C24" s="13">
        <v>34844.6</v>
      </c>
      <c r="D24" s="13">
        <v>12133.35</v>
      </c>
      <c r="E24" s="14">
        <f t="shared" ref="E24:E36" si="5">SUM(B24:D24)</f>
        <v>70025.64</v>
      </c>
      <c r="F24" s="13">
        <f t="shared" ref="F24:F36" si="6">I24/12</f>
        <v>85833.333333333328</v>
      </c>
      <c r="G24" s="13">
        <v>854559.47</v>
      </c>
      <c r="H24" s="13">
        <f t="shared" ref="H24:H36" si="7">F24*7</f>
        <v>600833.33333333326</v>
      </c>
      <c r="I24" s="13">
        <v>1030000</v>
      </c>
      <c r="J24" s="34">
        <f t="shared" ref="J24:J36" si="8">+G24/I24</f>
        <v>0.82966938834951454</v>
      </c>
    </row>
    <row r="25" spans="1:11" x14ac:dyDescent="0.2">
      <c r="A25" s="11" t="s">
        <v>15</v>
      </c>
      <c r="B25" s="13">
        <v>1814.43</v>
      </c>
      <c r="C25" s="13">
        <v>3010.1</v>
      </c>
      <c r="D25" s="13">
        <v>980.85</v>
      </c>
      <c r="E25" s="14">
        <f t="shared" si="5"/>
        <v>5805.38</v>
      </c>
      <c r="F25" s="13">
        <f t="shared" si="6"/>
        <v>6666.666666666667</v>
      </c>
      <c r="G25" s="13">
        <v>71291.179999999993</v>
      </c>
      <c r="H25" s="13">
        <f t="shared" si="7"/>
        <v>46666.666666666672</v>
      </c>
      <c r="I25" s="13">
        <v>80000</v>
      </c>
      <c r="J25" s="34">
        <f t="shared" si="8"/>
        <v>0.8911397499999999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5"/>
        <v>0</v>
      </c>
      <c r="F26" s="13">
        <f t="shared" si="6"/>
        <v>625</v>
      </c>
      <c r="G26" s="13">
        <f t="shared" ref="G26:G35" si="9">E26</f>
        <v>0</v>
      </c>
      <c r="H26" s="13">
        <f t="shared" si="7"/>
        <v>4375</v>
      </c>
      <c r="I26" s="13">
        <v>7500</v>
      </c>
      <c r="J26" s="34">
        <f t="shared" si="8"/>
        <v>0</v>
      </c>
    </row>
    <row r="27" spans="1:11" x14ac:dyDescent="0.2">
      <c r="A27" s="11" t="s">
        <v>17</v>
      </c>
      <c r="B27" s="13">
        <v>933.92</v>
      </c>
      <c r="C27" s="13">
        <v>821.6</v>
      </c>
      <c r="D27" s="13">
        <v>804.64</v>
      </c>
      <c r="E27" s="14">
        <f t="shared" si="5"/>
        <v>2560.16</v>
      </c>
      <c r="F27" s="13">
        <f t="shared" si="6"/>
        <v>3600</v>
      </c>
      <c r="G27" s="13">
        <v>30567.040000000001</v>
      </c>
      <c r="H27" s="13">
        <f t="shared" si="7"/>
        <v>25200</v>
      </c>
      <c r="I27" s="13">
        <v>43200</v>
      </c>
      <c r="J27" s="34">
        <f t="shared" si="8"/>
        <v>0.70757037037037041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5"/>
        <v>0</v>
      </c>
      <c r="F28" s="13">
        <f t="shared" si="6"/>
        <v>8750</v>
      </c>
      <c r="G28" s="13">
        <v>105312.99</v>
      </c>
      <c r="H28" s="13">
        <f t="shared" si="7"/>
        <v>61250</v>
      </c>
      <c r="I28" s="13">
        <v>105000</v>
      </c>
      <c r="J28" s="34">
        <f t="shared" si="8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5"/>
        <v>0</v>
      </c>
      <c r="F29" s="13">
        <f t="shared" si="6"/>
        <v>833.33333333333337</v>
      </c>
      <c r="G29" s="13">
        <f t="shared" si="9"/>
        <v>0</v>
      </c>
      <c r="H29" s="13">
        <f t="shared" si="7"/>
        <v>5833.3333333333339</v>
      </c>
      <c r="I29" s="13">
        <f>10000</f>
        <v>10000</v>
      </c>
      <c r="J29" s="34">
        <f t="shared" si="8"/>
        <v>0</v>
      </c>
    </row>
    <row r="30" spans="1:11" x14ac:dyDescent="0.2">
      <c r="A30" s="11" t="s">
        <v>20</v>
      </c>
      <c r="B30" s="13">
        <v>0</v>
      </c>
      <c r="C30" s="13">
        <v>0</v>
      </c>
      <c r="D30" s="13">
        <v>0</v>
      </c>
      <c r="E30" s="14">
        <f t="shared" si="5"/>
        <v>0</v>
      </c>
      <c r="F30" s="13">
        <f t="shared" si="6"/>
        <v>2083.3333333333335</v>
      </c>
      <c r="G30" s="13">
        <v>14175</v>
      </c>
      <c r="H30" s="13">
        <f t="shared" si="7"/>
        <v>14583.333333333334</v>
      </c>
      <c r="I30" s="13">
        <v>25000</v>
      </c>
      <c r="J30" s="34">
        <f t="shared" si="8"/>
        <v>0.56699999999999995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0</v>
      </c>
      <c r="E31" s="14">
        <f t="shared" si="5"/>
        <v>0</v>
      </c>
      <c r="F31" s="13">
        <f t="shared" si="6"/>
        <v>1750</v>
      </c>
      <c r="G31" s="13">
        <v>10793.74</v>
      </c>
      <c r="H31" s="13">
        <f t="shared" si="7"/>
        <v>12250</v>
      </c>
      <c r="I31" s="13">
        <v>21000</v>
      </c>
      <c r="J31" s="34">
        <f t="shared" si="8"/>
        <v>0.51398761904761903</v>
      </c>
    </row>
    <row r="32" spans="1:11" x14ac:dyDescent="0.2">
      <c r="A32" s="11" t="s">
        <v>22</v>
      </c>
      <c r="B32" s="13">
        <v>0</v>
      </c>
      <c r="C32" s="13">
        <v>405.24</v>
      </c>
      <c r="D32" s="13">
        <v>397.12</v>
      </c>
      <c r="E32" s="14">
        <f t="shared" si="5"/>
        <v>802.36</v>
      </c>
      <c r="F32" s="13">
        <f t="shared" si="6"/>
        <v>2666.6666666666665</v>
      </c>
      <c r="G32" s="13">
        <v>18075.330000000002</v>
      </c>
      <c r="H32" s="13">
        <f t="shared" si="7"/>
        <v>18666.666666666664</v>
      </c>
      <c r="I32" s="13">
        <v>32000</v>
      </c>
      <c r="J32" s="34">
        <f t="shared" si="8"/>
        <v>0.56485406250000003</v>
      </c>
    </row>
    <row r="33" spans="1:19" x14ac:dyDescent="0.2">
      <c r="A33" s="11" t="s">
        <v>23</v>
      </c>
      <c r="B33" s="13">
        <v>83.15</v>
      </c>
      <c r="C33" s="13">
        <v>4331.26</v>
      </c>
      <c r="D33" s="13">
        <v>4298.67</v>
      </c>
      <c r="E33" s="13">
        <f t="shared" si="5"/>
        <v>8713.08</v>
      </c>
      <c r="F33" s="13">
        <f t="shared" si="6"/>
        <v>10833.333333333334</v>
      </c>
      <c r="G33" s="13">
        <v>77727.58</v>
      </c>
      <c r="H33" s="13">
        <f t="shared" si="7"/>
        <v>75833.333333333343</v>
      </c>
      <c r="I33" s="13">
        <v>130000</v>
      </c>
      <c r="J33" s="34">
        <f t="shared" si="8"/>
        <v>0.59790446153846155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0</v>
      </c>
      <c r="E34" s="14">
        <f t="shared" si="5"/>
        <v>0</v>
      </c>
      <c r="F34" s="13">
        <f t="shared" si="6"/>
        <v>1666.6666666666667</v>
      </c>
      <c r="G34" s="13">
        <v>816.5</v>
      </c>
      <c r="H34" s="13">
        <f t="shared" si="7"/>
        <v>11666.666666666668</v>
      </c>
      <c r="I34" s="13">
        <v>20000</v>
      </c>
      <c r="J34" s="34">
        <f t="shared" si="8"/>
        <v>4.0825E-2</v>
      </c>
    </row>
    <row r="35" spans="1:19" ht="13.5" customHeight="1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5"/>
        <v>0</v>
      </c>
      <c r="F35" s="13">
        <f t="shared" si="6"/>
        <v>250</v>
      </c>
      <c r="G35" s="13">
        <f t="shared" si="9"/>
        <v>0</v>
      </c>
      <c r="H35" s="13">
        <f t="shared" si="7"/>
        <v>1750</v>
      </c>
      <c r="I35" s="13">
        <f>1500+1500</f>
        <v>3000</v>
      </c>
      <c r="J35" s="34">
        <f t="shared" si="8"/>
        <v>0</v>
      </c>
    </row>
    <row r="36" spans="1:19" x14ac:dyDescent="0.2">
      <c r="A36" s="11" t="s">
        <v>26</v>
      </c>
      <c r="B36" s="13">
        <v>0</v>
      </c>
      <c r="C36" s="13">
        <v>0</v>
      </c>
      <c r="D36" s="13">
        <v>0</v>
      </c>
      <c r="E36" s="14">
        <f t="shared" si="5"/>
        <v>0</v>
      </c>
      <c r="F36" s="13">
        <f t="shared" si="6"/>
        <v>29166.666666666668</v>
      </c>
      <c r="G36" s="13">
        <v>82519</v>
      </c>
      <c r="H36" s="13">
        <f t="shared" si="7"/>
        <v>204166.66666666669</v>
      </c>
      <c r="I36" s="13">
        <v>350000</v>
      </c>
      <c r="J36" s="34">
        <f t="shared" si="8"/>
        <v>0.23576857142857144</v>
      </c>
    </row>
    <row r="37" spans="1:19" x14ac:dyDescent="0.2">
      <c r="A37" s="11"/>
      <c r="B37" s="14"/>
      <c r="C37" s="13"/>
      <c r="D37" s="13"/>
      <c r="E37" s="14"/>
      <c r="F37" s="13"/>
      <c r="G37" s="13"/>
      <c r="H37" s="13"/>
      <c r="I37" s="13"/>
    </row>
    <row r="38" spans="1:19" x14ac:dyDescent="0.2">
      <c r="B38" s="42" t="s">
        <v>57</v>
      </c>
      <c r="C38" s="46" t="s">
        <v>58</v>
      </c>
      <c r="D38" s="41" t="s">
        <v>59</v>
      </c>
      <c r="E38" s="42" t="s">
        <v>60</v>
      </c>
      <c r="F38" s="41" t="s">
        <v>61</v>
      </c>
      <c r="G38" s="41" t="s">
        <v>62</v>
      </c>
      <c r="H38" s="41" t="s">
        <v>62</v>
      </c>
      <c r="I38" s="41" t="s">
        <v>63</v>
      </c>
      <c r="J38" s="16">
        <f>+J4</f>
        <v>0.75</v>
      </c>
      <c r="K38" s="1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1"/>
      <c r="B39" s="42"/>
      <c r="C39" s="46"/>
      <c r="D39" s="41"/>
      <c r="E39" s="42" t="s">
        <v>68</v>
      </c>
      <c r="F39" s="41" t="s">
        <v>65</v>
      </c>
      <c r="G39" s="41" t="s">
        <v>68</v>
      </c>
      <c r="H39" s="41" t="s">
        <v>67</v>
      </c>
      <c r="I39" s="41" t="s">
        <v>67</v>
      </c>
      <c r="J39" s="17" t="s">
        <v>65</v>
      </c>
      <c r="K39" s="1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1" t="s">
        <v>13</v>
      </c>
      <c r="B40" s="42"/>
      <c r="C40" s="46"/>
      <c r="D40" s="41"/>
      <c r="E40" s="42"/>
      <c r="F40" s="41"/>
      <c r="G40" s="41"/>
      <c r="H40" s="41"/>
      <c r="I40" s="41"/>
      <c r="J40" s="17" t="s">
        <v>75</v>
      </c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11" t="s">
        <v>27</v>
      </c>
      <c r="B41" s="6">
        <v>4799.3999999999996</v>
      </c>
      <c r="C41" s="6">
        <v>7046.79</v>
      </c>
      <c r="D41" s="6">
        <v>5797.74</v>
      </c>
      <c r="E41" s="14">
        <f t="shared" ref="E41:E67" si="10">SUM(B41:D41)</f>
        <v>17643.93</v>
      </c>
      <c r="F41" s="6">
        <f t="shared" ref="F41:F43" si="11">I41/12</f>
        <v>16500</v>
      </c>
      <c r="G41" s="6">
        <v>154259.76</v>
      </c>
      <c r="H41" s="13">
        <f t="shared" ref="H41:H67" si="12">F41*7</f>
        <v>115500</v>
      </c>
      <c r="I41" s="6">
        <v>198000</v>
      </c>
      <c r="J41" s="34">
        <f t="shared" ref="J41:J68" si="13">+G41/I41</f>
        <v>0.77908969696969699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 t="s">
        <v>28</v>
      </c>
      <c r="B42" s="13">
        <v>0</v>
      </c>
      <c r="C42" s="13">
        <v>0</v>
      </c>
      <c r="D42" s="13">
        <v>38</v>
      </c>
      <c r="E42" s="14">
        <f t="shared" si="10"/>
        <v>38</v>
      </c>
      <c r="F42" s="13">
        <f t="shared" si="11"/>
        <v>25520.833333333332</v>
      </c>
      <c r="G42" s="13">
        <v>293242</v>
      </c>
      <c r="H42" s="13">
        <f t="shared" si="12"/>
        <v>178645.83333333331</v>
      </c>
      <c r="I42" s="13">
        <v>306250</v>
      </c>
      <c r="J42" s="34">
        <f t="shared" si="13"/>
        <v>0.95752489795918372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29</v>
      </c>
      <c r="B43" s="13">
        <v>0</v>
      </c>
      <c r="C43" s="13">
        <v>0</v>
      </c>
      <c r="D43" s="13">
        <v>0</v>
      </c>
      <c r="E43" s="14">
        <f t="shared" si="10"/>
        <v>0</v>
      </c>
      <c r="F43" s="13">
        <f t="shared" si="11"/>
        <v>416.66666666666669</v>
      </c>
      <c r="G43" s="13">
        <v>1236.0899999999999</v>
      </c>
      <c r="H43" s="13">
        <f t="shared" si="12"/>
        <v>2916.666666666667</v>
      </c>
      <c r="I43" s="13">
        <f>2500+2500</f>
        <v>5000</v>
      </c>
      <c r="J43" s="34">
        <f t="shared" si="13"/>
        <v>0.24721799999999999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30</v>
      </c>
      <c r="B44" s="13">
        <v>0</v>
      </c>
      <c r="C44" s="13">
        <v>5</v>
      </c>
      <c r="D44" s="13">
        <v>0</v>
      </c>
      <c r="E44" s="14">
        <f t="shared" si="10"/>
        <v>5</v>
      </c>
      <c r="F44" s="13">
        <f>I44/12</f>
        <v>1333.3333333333333</v>
      </c>
      <c r="G44" s="13">
        <v>14667.28</v>
      </c>
      <c r="H44" s="13">
        <f t="shared" si="12"/>
        <v>9333.3333333333321</v>
      </c>
      <c r="I44" s="13">
        <f>8000+8000</f>
        <v>16000</v>
      </c>
      <c r="J44" s="34">
        <f t="shared" si="13"/>
        <v>0.91670499999999999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32</v>
      </c>
      <c r="B45" s="13">
        <v>0</v>
      </c>
      <c r="C45" s="13">
        <v>0</v>
      </c>
      <c r="D45" s="13">
        <v>0</v>
      </c>
      <c r="E45" s="14">
        <f t="shared" si="10"/>
        <v>0</v>
      </c>
      <c r="F45" s="13">
        <f t="shared" ref="F45:F67" si="14">I45/12</f>
        <v>6500</v>
      </c>
      <c r="G45" s="13">
        <v>0</v>
      </c>
      <c r="H45" s="13">
        <f t="shared" si="12"/>
        <v>45500</v>
      </c>
      <c r="I45" s="13">
        <v>78000</v>
      </c>
      <c r="J45" s="34">
        <f t="shared" si="13"/>
        <v>0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33</v>
      </c>
      <c r="B46" s="13">
        <v>0</v>
      </c>
      <c r="C46" s="13">
        <v>0</v>
      </c>
      <c r="D46" s="13">
        <v>0</v>
      </c>
      <c r="E46" s="14">
        <f t="shared" si="10"/>
        <v>0</v>
      </c>
      <c r="F46" s="13">
        <f t="shared" si="14"/>
        <v>750</v>
      </c>
      <c r="G46" s="13">
        <v>2153.33</v>
      </c>
      <c r="H46" s="13">
        <f t="shared" si="12"/>
        <v>5250</v>
      </c>
      <c r="I46" s="13">
        <v>9000</v>
      </c>
      <c r="J46" s="34">
        <f t="shared" si="13"/>
        <v>0.23925888888888888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34</v>
      </c>
      <c r="B47" s="13">
        <v>0</v>
      </c>
      <c r="C47" s="13">
        <v>0</v>
      </c>
      <c r="D47" s="13">
        <v>74.67</v>
      </c>
      <c r="E47" s="13">
        <f t="shared" si="10"/>
        <v>74.67</v>
      </c>
      <c r="F47" s="13">
        <f t="shared" si="14"/>
        <v>1250</v>
      </c>
      <c r="G47" s="13">
        <v>9508.0499999999993</v>
      </c>
      <c r="H47" s="13">
        <f t="shared" si="12"/>
        <v>8750</v>
      </c>
      <c r="I47" s="13">
        <v>15000</v>
      </c>
      <c r="J47" s="34">
        <f t="shared" si="13"/>
        <v>0.63386999999999993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35</v>
      </c>
      <c r="B48" s="13">
        <v>0</v>
      </c>
      <c r="C48" s="13">
        <v>2096.5100000000002</v>
      </c>
      <c r="D48" s="13">
        <v>1897.79</v>
      </c>
      <c r="E48" s="14">
        <f t="shared" si="10"/>
        <v>3994.3</v>
      </c>
      <c r="F48" s="13">
        <f t="shared" si="14"/>
        <v>13750</v>
      </c>
      <c r="G48" s="13">
        <v>61569.599999999999</v>
      </c>
      <c r="H48" s="13">
        <f t="shared" si="12"/>
        <v>96250</v>
      </c>
      <c r="I48" s="13">
        <v>165000</v>
      </c>
      <c r="J48" s="34">
        <f t="shared" si="13"/>
        <v>0.37314909090909087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36</v>
      </c>
      <c r="B49" s="13">
        <v>0</v>
      </c>
      <c r="C49" s="13">
        <v>76865.62</v>
      </c>
      <c r="D49" s="13">
        <v>0</v>
      </c>
      <c r="E49" s="14">
        <f t="shared" si="10"/>
        <v>76865.62</v>
      </c>
      <c r="F49" s="13">
        <f t="shared" si="14"/>
        <v>91666.666666666672</v>
      </c>
      <c r="G49" s="13">
        <v>844000.03</v>
      </c>
      <c r="H49" s="13">
        <f t="shared" si="12"/>
        <v>641666.66666666674</v>
      </c>
      <c r="I49" s="13">
        <v>1100000</v>
      </c>
      <c r="J49" s="34">
        <f t="shared" si="13"/>
        <v>0.76727275454545452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37</v>
      </c>
      <c r="B50" s="13">
        <v>0</v>
      </c>
      <c r="C50" s="13">
        <v>310.94</v>
      </c>
      <c r="D50" s="13">
        <v>0</v>
      </c>
      <c r="E50" s="14">
        <f t="shared" si="10"/>
        <v>310.94</v>
      </c>
      <c r="F50" s="13">
        <f t="shared" si="14"/>
        <v>875</v>
      </c>
      <c r="G50" s="13">
        <v>5105.51</v>
      </c>
      <c r="H50" s="13">
        <f t="shared" si="12"/>
        <v>6125</v>
      </c>
      <c r="I50" s="13">
        <v>10500</v>
      </c>
      <c r="J50" s="34">
        <f t="shared" si="13"/>
        <v>0.48623904761904763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38</v>
      </c>
      <c r="B51" s="13">
        <v>0</v>
      </c>
      <c r="C51" s="13">
        <v>7537.25</v>
      </c>
      <c r="D51" s="13">
        <v>0</v>
      </c>
      <c r="E51" s="14">
        <f t="shared" si="10"/>
        <v>7537.25</v>
      </c>
      <c r="F51" s="13">
        <f t="shared" si="14"/>
        <v>3333.3333333333335</v>
      </c>
      <c r="G51" s="13">
        <v>60551.75</v>
      </c>
      <c r="H51" s="13">
        <f t="shared" si="12"/>
        <v>23333.333333333336</v>
      </c>
      <c r="I51" s="13">
        <v>40000</v>
      </c>
      <c r="J51" s="34">
        <f t="shared" si="13"/>
        <v>1.51379375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39</v>
      </c>
      <c r="B52" s="13">
        <v>0</v>
      </c>
      <c r="C52" s="13">
        <v>2645.81</v>
      </c>
      <c r="D52" s="13">
        <v>0</v>
      </c>
      <c r="E52" s="14">
        <f t="shared" si="10"/>
        <v>2645.81</v>
      </c>
      <c r="F52" s="13">
        <f t="shared" si="14"/>
        <v>625</v>
      </c>
      <c r="G52" s="13">
        <v>9276.39</v>
      </c>
      <c r="H52" s="13">
        <f t="shared" si="12"/>
        <v>4375</v>
      </c>
      <c r="I52" s="13">
        <v>7500</v>
      </c>
      <c r="J52" s="34">
        <f t="shared" si="13"/>
        <v>1.2368519999999998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40</v>
      </c>
      <c r="B53" s="13">
        <v>34.74</v>
      </c>
      <c r="C53" s="13">
        <v>107</v>
      </c>
      <c r="D53" s="13">
        <v>107</v>
      </c>
      <c r="E53" s="14">
        <f t="shared" si="10"/>
        <v>248.74</v>
      </c>
      <c r="F53" s="13">
        <f t="shared" si="14"/>
        <v>875</v>
      </c>
      <c r="G53" s="13">
        <v>7054.79</v>
      </c>
      <c r="H53" s="13">
        <f t="shared" si="12"/>
        <v>6125</v>
      </c>
      <c r="I53" s="13">
        <v>10500</v>
      </c>
      <c r="J53" s="34">
        <f t="shared" si="13"/>
        <v>0.67188476190476187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41</v>
      </c>
      <c r="B54" s="13">
        <v>284.68</v>
      </c>
      <c r="C54" s="13">
        <v>1052</v>
      </c>
      <c r="D54" s="13">
        <v>3.91</v>
      </c>
      <c r="E54" s="14">
        <f t="shared" si="10"/>
        <v>1340.5900000000001</v>
      </c>
      <c r="F54" s="13">
        <f t="shared" si="14"/>
        <v>2500</v>
      </c>
      <c r="G54" s="13">
        <v>34773.050000000003</v>
      </c>
      <c r="H54" s="13">
        <f t="shared" si="12"/>
        <v>17500</v>
      </c>
      <c r="I54" s="13">
        <v>30000</v>
      </c>
      <c r="J54" s="34">
        <f t="shared" si="13"/>
        <v>1.1591016666666667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42</v>
      </c>
      <c r="B55" s="13">
        <v>0</v>
      </c>
      <c r="C55" s="13">
        <v>826.1</v>
      </c>
      <c r="D55" s="13">
        <v>0</v>
      </c>
      <c r="E55" s="14">
        <f t="shared" si="10"/>
        <v>826.1</v>
      </c>
      <c r="F55" s="13">
        <f t="shared" si="14"/>
        <v>13333.333333333334</v>
      </c>
      <c r="G55" s="13">
        <v>88224.19</v>
      </c>
      <c r="H55" s="13">
        <f t="shared" si="12"/>
        <v>93333.333333333343</v>
      </c>
      <c r="I55" s="13">
        <v>160000</v>
      </c>
      <c r="J55" s="34">
        <f t="shared" si="13"/>
        <v>0.5514011875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43</v>
      </c>
      <c r="B56" s="13">
        <v>0</v>
      </c>
      <c r="C56" s="13">
        <v>5631.53</v>
      </c>
      <c r="D56" s="13">
        <v>0</v>
      </c>
      <c r="E56" s="14">
        <f t="shared" si="10"/>
        <v>5631.53</v>
      </c>
      <c r="F56" s="13">
        <f t="shared" si="14"/>
        <v>3333.3333333333335</v>
      </c>
      <c r="G56" s="13">
        <v>40598.94</v>
      </c>
      <c r="H56" s="13">
        <f t="shared" si="12"/>
        <v>23333.333333333336</v>
      </c>
      <c r="I56" s="13">
        <v>40000</v>
      </c>
      <c r="J56" s="34">
        <f t="shared" si="13"/>
        <v>1.0149735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44</v>
      </c>
      <c r="B57" s="13">
        <v>0</v>
      </c>
      <c r="C57" s="13">
        <v>0</v>
      </c>
      <c r="D57" s="13">
        <v>0</v>
      </c>
      <c r="E57" s="14">
        <f t="shared" si="10"/>
        <v>0</v>
      </c>
      <c r="F57" s="13">
        <f t="shared" si="14"/>
        <v>1583.3333333333333</v>
      </c>
      <c r="G57" s="13">
        <v>22802</v>
      </c>
      <c r="H57" s="13">
        <f t="shared" si="12"/>
        <v>11083.333333333332</v>
      </c>
      <c r="I57" s="13">
        <v>19000</v>
      </c>
      <c r="J57" s="34">
        <f t="shared" si="13"/>
        <v>1.2001052631578948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45</v>
      </c>
      <c r="B58" s="13">
        <v>0</v>
      </c>
      <c r="C58" s="13">
        <v>3638.22</v>
      </c>
      <c r="D58" s="13">
        <v>0</v>
      </c>
      <c r="E58" s="14">
        <f t="shared" si="10"/>
        <v>3638.22</v>
      </c>
      <c r="F58" s="13">
        <f t="shared" si="14"/>
        <v>1416.6666666666667</v>
      </c>
      <c r="G58" s="13">
        <v>15448.49</v>
      </c>
      <c r="H58" s="13">
        <f t="shared" si="12"/>
        <v>9916.6666666666679</v>
      </c>
      <c r="I58" s="13">
        <v>17000</v>
      </c>
      <c r="J58" s="34">
        <f t="shared" si="13"/>
        <v>0.90873470588235294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46</v>
      </c>
      <c r="B59" s="13">
        <v>0</v>
      </c>
      <c r="C59" s="13">
        <v>0</v>
      </c>
      <c r="D59" s="13">
        <v>0</v>
      </c>
      <c r="E59" s="14">
        <f t="shared" si="10"/>
        <v>0</v>
      </c>
      <c r="F59" s="13">
        <f t="shared" si="14"/>
        <v>1666.6666666666667</v>
      </c>
      <c r="G59" s="13">
        <v>10571.79</v>
      </c>
      <c r="H59" s="13">
        <f t="shared" si="12"/>
        <v>11666.666666666668</v>
      </c>
      <c r="I59" s="13">
        <v>20000</v>
      </c>
      <c r="J59" s="34">
        <f t="shared" si="13"/>
        <v>0.52858950000000005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47</v>
      </c>
      <c r="B60" s="13">
        <v>11251.31</v>
      </c>
      <c r="C60" s="13">
        <v>0</v>
      </c>
      <c r="D60" s="13">
        <v>0</v>
      </c>
      <c r="E60" s="14">
        <f t="shared" si="10"/>
        <v>11251.31</v>
      </c>
      <c r="F60" s="13">
        <f t="shared" si="14"/>
        <v>12541.666666666666</v>
      </c>
      <c r="G60" s="13">
        <v>109275.56</v>
      </c>
      <c r="H60" s="13">
        <f t="shared" si="12"/>
        <v>87791.666666666657</v>
      </c>
      <c r="I60" s="13">
        <v>150500</v>
      </c>
      <c r="J60" s="34">
        <f t="shared" si="13"/>
        <v>0.72608345514950168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48</v>
      </c>
      <c r="B61" s="13">
        <v>0</v>
      </c>
      <c r="C61" s="13">
        <v>0</v>
      </c>
      <c r="D61" s="13">
        <v>0</v>
      </c>
      <c r="E61" s="14">
        <f t="shared" si="10"/>
        <v>0</v>
      </c>
      <c r="F61" s="13">
        <f t="shared" si="14"/>
        <v>83.333333333333329</v>
      </c>
      <c r="G61" s="13">
        <v>240</v>
      </c>
      <c r="H61" s="13">
        <f t="shared" si="12"/>
        <v>583.33333333333326</v>
      </c>
      <c r="I61" s="13">
        <v>1000</v>
      </c>
      <c r="J61" s="34">
        <f t="shared" si="13"/>
        <v>0.24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49</v>
      </c>
      <c r="B62" s="13">
        <v>271</v>
      </c>
      <c r="C62" s="13">
        <v>0</v>
      </c>
      <c r="D62" s="13">
        <v>0</v>
      </c>
      <c r="E62" s="14">
        <f t="shared" si="10"/>
        <v>271</v>
      </c>
      <c r="F62" s="13">
        <f t="shared" si="14"/>
        <v>208.33333333333334</v>
      </c>
      <c r="G62" s="13">
        <v>1674.61</v>
      </c>
      <c r="H62" s="13">
        <f t="shared" si="12"/>
        <v>1458.3333333333335</v>
      </c>
      <c r="I62" s="13">
        <v>2500</v>
      </c>
      <c r="J62" s="34">
        <f t="shared" si="13"/>
        <v>0.66984399999999999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50</v>
      </c>
      <c r="B63" s="13">
        <v>0</v>
      </c>
      <c r="C63" s="13">
        <v>0</v>
      </c>
      <c r="D63" s="13">
        <v>0</v>
      </c>
      <c r="E63" s="14">
        <f t="shared" si="10"/>
        <v>0</v>
      </c>
      <c r="F63" s="13">
        <f t="shared" si="14"/>
        <v>2500</v>
      </c>
      <c r="G63" s="13">
        <v>17190.5</v>
      </c>
      <c r="H63" s="13">
        <f t="shared" si="12"/>
        <v>17500</v>
      </c>
      <c r="I63" s="13">
        <v>30000</v>
      </c>
      <c r="J63" s="34">
        <f t="shared" si="13"/>
        <v>0.57301666666666662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52</v>
      </c>
      <c r="B64" s="13">
        <v>0</v>
      </c>
      <c r="C64" s="13">
        <v>3474.03</v>
      </c>
      <c r="D64" s="13">
        <v>0</v>
      </c>
      <c r="E64" s="14">
        <f t="shared" si="10"/>
        <v>3474.03</v>
      </c>
      <c r="F64" s="13">
        <f t="shared" si="14"/>
        <v>4000</v>
      </c>
      <c r="G64" s="13">
        <v>40423.49</v>
      </c>
      <c r="H64" s="13">
        <f t="shared" si="12"/>
        <v>28000</v>
      </c>
      <c r="I64" s="13">
        <v>48000</v>
      </c>
      <c r="J64" s="34">
        <f t="shared" si="13"/>
        <v>0.84215604166666658</v>
      </c>
      <c r="K64" s="1"/>
      <c r="L64" s="2"/>
      <c r="M64" s="2"/>
      <c r="N64" s="2"/>
      <c r="O64" s="3"/>
      <c r="Q64" s="3"/>
    </row>
    <row r="65" spans="1:10" x14ac:dyDescent="0.2">
      <c r="A65" s="11" t="s">
        <v>53</v>
      </c>
      <c r="B65" s="13">
        <v>0</v>
      </c>
      <c r="C65" s="13">
        <v>50</v>
      </c>
      <c r="D65" s="13">
        <v>0</v>
      </c>
      <c r="E65" s="14">
        <f t="shared" si="10"/>
        <v>50</v>
      </c>
      <c r="F65" s="13">
        <f t="shared" si="14"/>
        <v>833.33333333333337</v>
      </c>
      <c r="G65" s="13">
        <v>8589.14</v>
      </c>
      <c r="H65" s="13">
        <f t="shared" si="12"/>
        <v>5833.3333333333339</v>
      </c>
      <c r="I65" s="13">
        <v>10000</v>
      </c>
      <c r="J65" s="34">
        <f t="shared" si="13"/>
        <v>0.85891399999999996</v>
      </c>
    </row>
    <row r="66" spans="1:10" x14ac:dyDescent="0.2">
      <c r="A66" s="11" t="s">
        <v>54</v>
      </c>
      <c r="B66" s="13">
        <v>0</v>
      </c>
      <c r="C66" s="13">
        <v>0</v>
      </c>
      <c r="D66" s="13">
        <v>0</v>
      </c>
      <c r="E66" s="14">
        <f t="shared" si="10"/>
        <v>0</v>
      </c>
      <c r="F66" s="13">
        <f t="shared" si="14"/>
        <v>4.166666666666667</v>
      </c>
      <c r="G66" s="13">
        <f t="shared" ref="G66" si="15">E66</f>
        <v>0</v>
      </c>
      <c r="H66" s="13">
        <f t="shared" si="12"/>
        <v>29.166666666666668</v>
      </c>
      <c r="I66" s="13">
        <v>50</v>
      </c>
      <c r="J66" s="34">
        <f t="shared" si="13"/>
        <v>0</v>
      </c>
    </row>
    <row r="67" spans="1:10" x14ac:dyDescent="0.2">
      <c r="A67" s="11" t="s">
        <v>72</v>
      </c>
      <c r="B67" s="13">
        <v>0</v>
      </c>
      <c r="C67" s="13">
        <v>0</v>
      </c>
      <c r="D67" s="13">
        <v>0</v>
      </c>
      <c r="E67" s="14">
        <f t="shared" si="10"/>
        <v>0</v>
      </c>
      <c r="F67" s="13">
        <f t="shared" si="14"/>
        <v>1666.6666666666667</v>
      </c>
      <c r="G67" s="13">
        <v>5975</v>
      </c>
      <c r="H67" s="13">
        <f t="shared" si="12"/>
        <v>11666.666666666668</v>
      </c>
      <c r="I67" s="13">
        <v>20000</v>
      </c>
      <c r="J67" s="33">
        <f t="shared" si="13"/>
        <v>0.29875000000000002</v>
      </c>
    </row>
    <row r="68" spans="1:10" x14ac:dyDescent="0.2">
      <c r="A68" s="11" t="s">
        <v>55</v>
      </c>
      <c r="B68" s="43">
        <f t="shared" ref="B68:H68" si="16">SUM(B24:B67)</f>
        <v>42520.32</v>
      </c>
      <c r="C68" s="43">
        <f t="shared" si="16"/>
        <v>154699.6</v>
      </c>
      <c r="D68" s="44">
        <f t="shared" si="16"/>
        <v>26533.74</v>
      </c>
      <c r="E68" s="43">
        <f t="shared" si="16"/>
        <v>223753.66</v>
      </c>
      <c r="F68" s="43">
        <f t="shared" si="16"/>
        <v>363791.66666666663</v>
      </c>
      <c r="G68" s="44">
        <f t="shared" si="16"/>
        <v>3124249.1700000009</v>
      </c>
      <c r="H68" s="43">
        <f t="shared" si="16"/>
        <v>2546541.666666667</v>
      </c>
      <c r="I68" s="44">
        <f>SUM(I41:I67)+SUM(I24:I36)</f>
        <v>4365500</v>
      </c>
      <c r="J68" s="37">
        <f t="shared" si="13"/>
        <v>0.71566811819951914</v>
      </c>
    </row>
    <row r="69" spans="1:10" x14ac:dyDescent="0.2">
      <c r="B69" s="14"/>
      <c r="C69" s="14" t="s">
        <v>69</v>
      </c>
      <c r="D69" s="13"/>
      <c r="E69" s="14"/>
      <c r="F69" s="14"/>
      <c r="G69" s="13"/>
      <c r="H69" s="14"/>
      <c r="I69" s="13"/>
    </row>
    <row r="70" spans="1:10" ht="13.5" thickBot="1" x14ac:dyDescent="0.25">
      <c r="A70" s="11" t="s">
        <v>56</v>
      </c>
      <c r="B70" s="38">
        <f t="shared" ref="B70:G70" si="17">B19-B68</f>
        <v>-42520.32</v>
      </c>
      <c r="C70" s="38">
        <f t="shared" si="17"/>
        <v>39049.669999999984</v>
      </c>
      <c r="D70" s="39">
        <f t="shared" si="17"/>
        <v>130598.02</v>
      </c>
      <c r="E70" s="38">
        <f t="shared" si="17"/>
        <v>127127.36999999997</v>
      </c>
      <c r="F70" s="38">
        <f t="shared" si="17"/>
        <v>0</v>
      </c>
      <c r="G70" s="39">
        <f t="shared" si="17"/>
        <v>285064.38999999873</v>
      </c>
      <c r="H70" s="10"/>
      <c r="I70" s="12"/>
    </row>
    <row r="71" spans="1:10" ht="13.5" thickTop="1" x14ac:dyDescent="0.2"/>
  </sheetData>
  <pageMargins left="0.7" right="0.7" top="0.75" bottom="0.75" header="0.3" footer="0.3"/>
  <pageSetup orientation="landscape" r:id="rId1"/>
  <rowBreaks count="1" manualBreakCount="1">
    <brk id="3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workbookViewId="0">
      <selection sqref="A1:I72"/>
    </sheetView>
  </sheetViews>
  <sheetFormatPr defaultRowHeight="12.75" x14ac:dyDescent="0.2"/>
  <cols>
    <col min="1" max="1" width="30.28515625" customWidth="1"/>
    <col min="2" max="2" width="11.28515625" customWidth="1"/>
    <col min="3" max="3" width="10.140625" customWidth="1"/>
    <col min="4" max="4" width="10.7109375" customWidth="1"/>
    <col min="5" max="5" width="11.42578125" customWidth="1"/>
    <col min="6" max="6" width="10.5703125" customWidth="1"/>
    <col min="7" max="7" width="13.140625" customWidth="1"/>
    <col min="8" max="8" width="11.42578125" customWidth="1"/>
    <col min="9" max="9" width="12.7109375" customWidth="1"/>
  </cols>
  <sheetData>
    <row r="1" spans="1:13" x14ac:dyDescent="0.2">
      <c r="A1" t="s">
        <v>69</v>
      </c>
      <c r="B1" s="1" t="s">
        <v>57</v>
      </c>
      <c r="C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62</v>
      </c>
      <c r="I1" s="1" t="s">
        <v>63</v>
      </c>
    </row>
    <row r="2" spans="1:13" x14ac:dyDescent="0.2">
      <c r="B2" s="1"/>
      <c r="D2" s="1"/>
      <c r="E2" s="1" t="s">
        <v>64</v>
      </c>
      <c r="F2" s="1" t="s">
        <v>65</v>
      </c>
      <c r="G2" s="1" t="s">
        <v>66</v>
      </c>
      <c r="H2" s="1" t="s">
        <v>67</v>
      </c>
      <c r="I2" s="1" t="s">
        <v>67</v>
      </c>
    </row>
    <row r="3" spans="1:13" x14ac:dyDescent="0.2">
      <c r="A3" s="1" t="s">
        <v>0</v>
      </c>
    </row>
    <row r="4" spans="1:13" x14ac:dyDescent="0.2">
      <c r="A4" s="1" t="s">
        <v>1</v>
      </c>
      <c r="B4" s="2">
        <v>0</v>
      </c>
      <c r="C4" s="2">
        <v>0</v>
      </c>
      <c r="D4" s="2">
        <v>105105.04</v>
      </c>
      <c r="E4" s="2">
        <f>+B4+C4+D4</f>
        <v>105105.04</v>
      </c>
      <c r="F4" s="2">
        <f>I4/12</f>
        <v>111150</v>
      </c>
      <c r="G4" s="2">
        <v>1214710.95</v>
      </c>
      <c r="H4" s="2">
        <f>F4*12</f>
        <v>1333800</v>
      </c>
      <c r="I4" s="2">
        <v>1333800</v>
      </c>
    </row>
    <row r="5" spans="1:13" x14ac:dyDescent="0.2">
      <c r="A5" s="1" t="s">
        <v>2</v>
      </c>
      <c r="B5" s="2">
        <v>0</v>
      </c>
      <c r="C5" s="2">
        <v>888.1</v>
      </c>
      <c r="D5" s="2">
        <v>3955.48</v>
      </c>
      <c r="E5" s="2">
        <f t="shared" ref="E5:E15" si="0">+B5+C5+D5</f>
        <v>4843.58</v>
      </c>
      <c r="F5" s="2">
        <f t="shared" ref="F5:F15" si="1">I5/12</f>
        <v>3750</v>
      </c>
      <c r="G5" s="2">
        <v>56583.96</v>
      </c>
      <c r="H5" s="2">
        <f t="shared" ref="H5:H15" si="2">F5*12</f>
        <v>45000</v>
      </c>
      <c r="I5" s="2">
        <v>45000</v>
      </c>
    </row>
    <row r="6" spans="1:13" x14ac:dyDescent="0.2">
      <c r="A6" s="1" t="s">
        <v>71</v>
      </c>
      <c r="B6" s="2">
        <v>0</v>
      </c>
      <c r="C6" s="2">
        <v>0</v>
      </c>
      <c r="D6" s="2">
        <v>0</v>
      </c>
      <c r="E6" s="2">
        <f t="shared" si="0"/>
        <v>0</v>
      </c>
      <c r="F6" s="2">
        <v>1166.67</v>
      </c>
      <c r="G6" s="2">
        <v>11473.06</v>
      </c>
      <c r="H6" s="2">
        <v>14000</v>
      </c>
      <c r="I6" s="2">
        <v>14000</v>
      </c>
    </row>
    <row r="7" spans="1:13" x14ac:dyDescent="0.2">
      <c r="A7" s="1" t="s">
        <v>3</v>
      </c>
      <c r="B7" s="2">
        <v>0</v>
      </c>
      <c r="C7" s="2">
        <v>0</v>
      </c>
      <c r="D7" s="2">
        <f>926.97+630.74</f>
        <v>1557.71</v>
      </c>
      <c r="E7" s="2">
        <f t="shared" si="0"/>
        <v>1557.71</v>
      </c>
      <c r="F7" s="2">
        <f t="shared" si="1"/>
        <v>1000</v>
      </c>
      <c r="G7" s="2">
        <f>7778.11+7935.02</f>
        <v>15713.130000000001</v>
      </c>
      <c r="H7" s="2">
        <f t="shared" si="2"/>
        <v>12000</v>
      </c>
      <c r="I7" s="2">
        <v>12000</v>
      </c>
    </row>
    <row r="8" spans="1:13" x14ac:dyDescent="0.2">
      <c r="A8" s="1" t="s">
        <v>4</v>
      </c>
      <c r="B8" s="2">
        <v>0</v>
      </c>
      <c r="C8" s="2">
        <v>0</v>
      </c>
      <c r="D8" s="2">
        <v>168.2</v>
      </c>
      <c r="E8" s="2">
        <f t="shared" si="0"/>
        <v>168.2</v>
      </c>
      <c r="F8" s="2">
        <f t="shared" si="1"/>
        <v>7083.333333333333</v>
      </c>
      <c r="G8" s="2">
        <v>87716.38</v>
      </c>
      <c r="H8" s="2">
        <f t="shared" si="2"/>
        <v>85000</v>
      </c>
      <c r="I8" s="2">
        <v>85000</v>
      </c>
    </row>
    <row r="9" spans="1:13" x14ac:dyDescent="0.2">
      <c r="A9" s="1" t="s">
        <v>5</v>
      </c>
      <c r="B9" s="2">
        <v>0</v>
      </c>
      <c r="C9" s="2">
        <v>113380.3</v>
      </c>
      <c r="D9" s="2">
        <v>0</v>
      </c>
      <c r="E9" s="2">
        <f t="shared" si="0"/>
        <v>113380.3</v>
      </c>
      <c r="F9" s="2">
        <f t="shared" si="1"/>
        <v>125000</v>
      </c>
      <c r="G9" s="2">
        <v>1548338.84</v>
      </c>
      <c r="H9" s="2">
        <f t="shared" si="2"/>
        <v>1500000</v>
      </c>
      <c r="I9" s="2">
        <v>1500000</v>
      </c>
    </row>
    <row r="10" spans="1:13" x14ac:dyDescent="0.2">
      <c r="A10" s="1" t="s">
        <v>6</v>
      </c>
      <c r="B10" s="2">
        <v>0</v>
      </c>
      <c r="C10" s="2">
        <v>311.3</v>
      </c>
      <c r="D10" s="2">
        <v>0</v>
      </c>
      <c r="E10" s="2">
        <f t="shared" si="0"/>
        <v>311.3</v>
      </c>
      <c r="F10" s="2">
        <f t="shared" si="1"/>
        <v>333.33333333333331</v>
      </c>
      <c r="G10" s="2">
        <v>3849.15</v>
      </c>
      <c r="H10" s="2">
        <f t="shared" si="2"/>
        <v>4000</v>
      </c>
      <c r="I10" s="2">
        <v>4000</v>
      </c>
    </row>
    <row r="11" spans="1:13" x14ac:dyDescent="0.2">
      <c r="A11" s="1" t="s">
        <v>7</v>
      </c>
      <c r="B11" s="2">
        <v>0</v>
      </c>
      <c r="C11" s="2">
        <v>8422.7999999999993</v>
      </c>
      <c r="D11" s="2">
        <v>0</v>
      </c>
      <c r="E11" s="2">
        <f t="shared" si="0"/>
        <v>8422.7999999999993</v>
      </c>
      <c r="F11" s="2">
        <f t="shared" si="1"/>
        <v>7916.666666666667</v>
      </c>
      <c r="G11" s="2">
        <v>97959.679999999993</v>
      </c>
      <c r="H11" s="2">
        <f t="shared" si="2"/>
        <v>95000</v>
      </c>
      <c r="I11" s="2">
        <v>95000</v>
      </c>
    </row>
    <row r="12" spans="1:13" x14ac:dyDescent="0.2">
      <c r="A12" s="1" t="s">
        <v>8</v>
      </c>
      <c r="B12" s="2">
        <v>0</v>
      </c>
      <c r="C12" s="2">
        <v>258.61</v>
      </c>
      <c r="D12" s="2">
        <v>0</v>
      </c>
      <c r="E12" s="2">
        <f t="shared" si="0"/>
        <v>258.61</v>
      </c>
      <c r="F12" s="2">
        <f t="shared" si="1"/>
        <v>666.66666666666663</v>
      </c>
      <c r="G12" s="2">
        <v>1742.32</v>
      </c>
      <c r="H12" s="2">
        <f t="shared" si="2"/>
        <v>8000</v>
      </c>
      <c r="I12" s="2">
        <v>8000</v>
      </c>
    </row>
    <row r="13" spans="1:13" x14ac:dyDescent="0.2">
      <c r="A13" s="1" t="s">
        <v>9</v>
      </c>
      <c r="B13" s="2">
        <v>0</v>
      </c>
      <c r="C13" s="2">
        <v>1562.72</v>
      </c>
      <c r="D13" s="2">
        <v>0</v>
      </c>
      <c r="E13" s="2">
        <f t="shared" si="0"/>
        <v>1562.72</v>
      </c>
      <c r="F13" s="2">
        <f t="shared" si="1"/>
        <v>1666.6666666666667</v>
      </c>
      <c r="G13" s="2">
        <v>23645.02</v>
      </c>
      <c r="H13" s="2">
        <f t="shared" si="2"/>
        <v>20000</v>
      </c>
      <c r="I13" s="2">
        <v>20000</v>
      </c>
    </row>
    <row r="14" spans="1:13" x14ac:dyDescent="0.2">
      <c r="A14" s="1" t="s">
        <v>10</v>
      </c>
      <c r="B14" s="2">
        <v>0</v>
      </c>
      <c r="C14" s="2">
        <v>47761.87</v>
      </c>
      <c r="D14" s="2">
        <v>0</v>
      </c>
      <c r="E14" s="2">
        <f t="shared" si="0"/>
        <v>47761.87</v>
      </c>
      <c r="F14" s="2">
        <f t="shared" si="1"/>
        <v>45833.333333333336</v>
      </c>
      <c r="G14" s="2">
        <v>563090.25</v>
      </c>
      <c r="H14" s="2">
        <f t="shared" si="2"/>
        <v>550000</v>
      </c>
      <c r="I14" s="2">
        <v>550000</v>
      </c>
    </row>
    <row r="15" spans="1:13" x14ac:dyDescent="0.2">
      <c r="A15" s="1" t="s">
        <v>11</v>
      </c>
      <c r="B15" s="2">
        <v>0</v>
      </c>
      <c r="C15" s="2">
        <v>2203.5</v>
      </c>
      <c r="D15" s="2">
        <v>0</v>
      </c>
      <c r="E15" s="2">
        <f t="shared" si="0"/>
        <v>2203.5</v>
      </c>
      <c r="F15" s="2">
        <f t="shared" si="1"/>
        <v>2083.3333333333335</v>
      </c>
      <c r="G15" s="2">
        <v>21597.34</v>
      </c>
      <c r="H15" s="2">
        <f t="shared" si="2"/>
        <v>25000</v>
      </c>
      <c r="I15" s="2">
        <v>25000</v>
      </c>
    </row>
    <row r="16" spans="1:13" x14ac:dyDescent="0.2">
      <c r="A16" s="1" t="s">
        <v>12</v>
      </c>
      <c r="B16" s="2">
        <f t="shared" ref="B16:I16" si="3">SUM(B4:B15)</f>
        <v>0</v>
      </c>
      <c r="C16" s="2">
        <f t="shared" si="3"/>
        <v>174789.2</v>
      </c>
      <c r="D16" s="2">
        <f t="shared" si="3"/>
        <v>110786.43</v>
      </c>
      <c r="E16" s="2">
        <f t="shared" si="3"/>
        <v>285575.63</v>
      </c>
      <c r="F16" s="2">
        <f t="shared" si="3"/>
        <v>307650.0033333333</v>
      </c>
      <c r="G16" s="2">
        <f t="shared" si="3"/>
        <v>3646420.08</v>
      </c>
      <c r="H16" s="2">
        <f>SUM(H4:H15)</f>
        <v>3691800</v>
      </c>
      <c r="I16" s="2">
        <f t="shared" si="3"/>
        <v>3691800</v>
      </c>
      <c r="M16" s="2"/>
    </row>
    <row r="17" spans="1:9" x14ac:dyDescent="0.2">
      <c r="A17" s="1"/>
    </row>
    <row r="18" spans="1:9" x14ac:dyDescent="0.2">
      <c r="A18" s="1" t="s">
        <v>13</v>
      </c>
      <c r="B18" s="1" t="s">
        <v>57</v>
      </c>
      <c r="C18" t="s">
        <v>58</v>
      </c>
      <c r="D18" s="1" t="s">
        <v>59</v>
      </c>
      <c r="E18" s="1" t="s">
        <v>60</v>
      </c>
      <c r="F18" s="1" t="s">
        <v>61</v>
      </c>
      <c r="G18" s="1" t="s">
        <v>62</v>
      </c>
      <c r="H18" s="1" t="s">
        <v>62</v>
      </c>
      <c r="I18" s="1" t="s">
        <v>63</v>
      </c>
    </row>
    <row r="19" spans="1:9" x14ac:dyDescent="0.2">
      <c r="A19" s="1"/>
      <c r="B19" s="1"/>
      <c r="D19" s="1"/>
      <c r="E19" s="1" t="s">
        <v>68</v>
      </c>
      <c r="F19" s="1" t="s">
        <v>65</v>
      </c>
      <c r="G19" s="1" t="s">
        <v>68</v>
      </c>
      <c r="H19" s="1" t="s">
        <v>67</v>
      </c>
      <c r="I19" s="1" t="s">
        <v>67</v>
      </c>
    </row>
    <row r="20" spans="1:9" x14ac:dyDescent="0.2">
      <c r="A20" s="1"/>
      <c r="B20" s="1"/>
      <c r="D20" s="1"/>
      <c r="E20" s="1"/>
      <c r="F20" s="1"/>
      <c r="G20" s="1"/>
      <c r="H20" s="1"/>
      <c r="I20" s="1"/>
    </row>
    <row r="21" spans="1:9" x14ac:dyDescent="0.2">
      <c r="A21" s="1" t="s">
        <v>14</v>
      </c>
      <c r="B21" s="2">
        <v>32153.09</v>
      </c>
      <c r="C21" s="2">
        <v>23519.05</v>
      </c>
      <c r="D21" s="2">
        <v>12073.6</v>
      </c>
      <c r="E21" s="2">
        <f t="shared" ref="E21:E33" si="4">B21+C21+D21</f>
        <v>67745.740000000005</v>
      </c>
      <c r="F21" s="2">
        <f t="shared" ref="F21:F33" si="5">I21/12</f>
        <v>68333.333333333328</v>
      </c>
      <c r="G21" s="2">
        <v>805777.42</v>
      </c>
      <c r="H21" s="2">
        <f>F21*12</f>
        <v>820000</v>
      </c>
      <c r="I21" s="2">
        <v>820000</v>
      </c>
    </row>
    <row r="22" spans="1:9" x14ac:dyDescent="0.2">
      <c r="A22" s="1" t="s">
        <v>15</v>
      </c>
      <c r="B22" s="2">
        <v>2601.2199999999998</v>
      </c>
      <c r="C22" s="2">
        <v>1773.47</v>
      </c>
      <c r="D22" s="2">
        <v>957.09</v>
      </c>
      <c r="E22" s="2">
        <f t="shared" si="4"/>
        <v>5331.78</v>
      </c>
      <c r="F22" s="2">
        <f t="shared" si="5"/>
        <v>5916.666666666667</v>
      </c>
      <c r="G22" s="2">
        <v>63691.01</v>
      </c>
      <c r="H22" s="2">
        <f t="shared" ref="H22:H33" si="6">F22*12</f>
        <v>71000</v>
      </c>
      <c r="I22" s="2">
        <v>71000</v>
      </c>
    </row>
    <row r="23" spans="1:9" x14ac:dyDescent="0.2">
      <c r="A23" s="1" t="s">
        <v>16</v>
      </c>
      <c r="B23" s="2">
        <v>0</v>
      </c>
      <c r="C23" s="2">
        <v>0</v>
      </c>
      <c r="D23" s="2">
        <v>0</v>
      </c>
      <c r="E23" s="2">
        <f t="shared" si="4"/>
        <v>0</v>
      </c>
      <c r="F23" s="2">
        <f t="shared" si="5"/>
        <v>625</v>
      </c>
      <c r="G23" s="2">
        <v>0</v>
      </c>
      <c r="H23" s="2">
        <f t="shared" si="6"/>
        <v>7500</v>
      </c>
      <c r="I23" s="2">
        <v>7500</v>
      </c>
    </row>
    <row r="24" spans="1:9" x14ac:dyDescent="0.2">
      <c r="A24" s="1" t="s">
        <v>17</v>
      </c>
      <c r="B24" s="2">
        <v>2100.3200000000002</v>
      </c>
      <c r="C24" s="2">
        <v>80</v>
      </c>
      <c r="D24" s="2">
        <v>456.24</v>
      </c>
      <c r="E24" s="2">
        <f t="shared" si="4"/>
        <v>2636.5600000000004</v>
      </c>
      <c r="F24" s="2">
        <f t="shared" si="5"/>
        <v>4083.3333333333335</v>
      </c>
      <c r="G24" s="2">
        <v>35225.68</v>
      </c>
      <c r="H24" s="2">
        <f t="shared" si="6"/>
        <v>49000</v>
      </c>
      <c r="I24" s="2">
        <v>49000</v>
      </c>
    </row>
    <row r="25" spans="1:9" x14ac:dyDescent="0.2">
      <c r="A25" s="1" t="s">
        <v>18</v>
      </c>
      <c r="B25" s="2">
        <v>0</v>
      </c>
      <c r="C25" s="2">
        <v>0</v>
      </c>
      <c r="D25" s="2">
        <v>0</v>
      </c>
      <c r="E25" s="2">
        <f t="shared" si="4"/>
        <v>0</v>
      </c>
      <c r="F25" s="2">
        <f t="shared" si="5"/>
        <v>7500</v>
      </c>
      <c r="G25" s="2">
        <v>85816.61</v>
      </c>
      <c r="H25" s="2">
        <f t="shared" si="6"/>
        <v>90000</v>
      </c>
      <c r="I25" s="2">
        <v>90000</v>
      </c>
    </row>
    <row r="26" spans="1:9" x14ac:dyDescent="0.2">
      <c r="A26" s="1" t="s">
        <v>19</v>
      </c>
      <c r="B26" s="2">
        <v>0</v>
      </c>
      <c r="C26" s="2">
        <v>0</v>
      </c>
      <c r="D26" s="2">
        <v>515</v>
      </c>
      <c r="E26" s="2">
        <f t="shared" si="4"/>
        <v>515</v>
      </c>
      <c r="F26" s="2">
        <f t="shared" si="5"/>
        <v>833.33333333333337</v>
      </c>
      <c r="G26" s="2">
        <v>0</v>
      </c>
      <c r="H26" s="2">
        <f t="shared" si="6"/>
        <v>10000</v>
      </c>
      <c r="I26" s="2">
        <v>10000</v>
      </c>
    </row>
    <row r="27" spans="1:9" x14ac:dyDescent="0.2">
      <c r="A27" s="1" t="s">
        <v>20</v>
      </c>
      <c r="B27" s="2">
        <v>0</v>
      </c>
      <c r="C27" s="2">
        <v>0</v>
      </c>
      <c r="D27" s="2">
        <v>0</v>
      </c>
      <c r="E27" s="2">
        <f t="shared" si="4"/>
        <v>0</v>
      </c>
      <c r="F27" s="2">
        <f t="shared" si="5"/>
        <v>1666.6666666666667</v>
      </c>
      <c r="G27" s="2">
        <v>8015</v>
      </c>
      <c r="H27" s="2">
        <f t="shared" si="6"/>
        <v>20000</v>
      </c>
      <c r="I27" s="2">
        <v>20000</v>
      </c>
    </row>
    <row r="28" spans="1:9" x14ac:dyDescent="0.2">
      <c r="A28" s="1" t="s">
        <v>21</v>
      </c>
      <c r="B28" s="2">
        <v>0</v>
      </c>
      <c r="C28" s="2">
        <v>0</v>
      </c>
      <c r="D28" s="2">
        <v>5099.74</v>
      </c>
      <c r="E28" s="2">
        <f t="shared" si="4"/>
        <v>5099.74</v>
      </c>
      <c r="F28" s="2">
        <f t="shared" si="5"/>
        <v>2166.6666666666665</v>
      </c>
      <c r="G28" s="2">
        <v>28526.880000000001</v>
      </c>
      <c r="H28" s="2">
        <f t="shared" si="6"/>
        <v>26000</v>
      </c>
      <c r="I28" s="2">
        <v>26000</v>
      </c>
    </row>
    <row r="29" spans="1:9" x14ac:dyDescent="0.2">
      <c r="A29" s="1" t="s">
        <v>22</v>
      </c>
      <c r="B29" s="2">
        <v>0</v>
      </c>
      <c r="C29" s="2">
        <v>2098.7600000000002</v>
      </c>
      <c r="D29" s="2">
        <v>2098.7600000000002</v>
      </c>
      <c r="E29" s="2">
        <f t="shared" si="4"/>
        <v>4197.5200000000004</v>
      </c>
      <c r="F29" s="2">
        <f t="shared" si="5"/>
        <v>1666.6666666666667</v>
      </c>
      <c r="G29" s="2">
        <v>18137.09</v>
      </c>
      <c r="H29" s="2">
        <f t="shared" si="6"/>
        <v>20000</v>
      </c>
      <c r="I29" s="2">
        <v>20000</v>
      </c>
    </row>
    <row r="30" spans="1:9" x14ac:dyDescent="0.2">
      <c r="A30" s="1" t="s">
        <v>23</v>
      </c>
      <c r="B30" s="2">
        <v>247.88</v>
      </c>
      <c r="C30" s="2">
        <v>4679.5600000000004</v>
      </c>
      <c r="D30" s="2">
        <v>4679.5600000000004</v>
      </c>
      <c r="E30" s="2">
        <f t="shared" si="4"/>
        <v>9607</v>
      </c>
      <c r="F30" s="2">
        <f t="shared" si="5"/>
        <v>10833.333333333334</v>
      </c>
      <c r="G30" s="2">
        <v>114598.95</v>
      </c>
      <c r="H30" s="2">
        <f t="shared" si="6"/>
        <v>130000</v>
      </c>
      <c r="I30" s="2">
        <v>130000</v>
      </c>
    </row>
    <row r="31" spans="1:9" x14ac:dyDescent="0.2">
      <c r="A31" s="1" t="s">
        <v>24</v>
      </c>
      <c r="B31" s="2">
        <v>0</v>
      </c>
      <c r="C31" s="2">
        <v>0</v>
      </c>
      <c r="D31" s="2">
        <v>1219.58</v>
      </c>
      <c r="E31" s="2">
        <f t="shared" si="4"/>
        <v>1219.58</v>
      </c>
      <c r="F31" s="2">
        <f t="shared" si="5"/>
        <v>2500</v>
      </c>
      <c r="G31" s="2">
        <v>14032.68</v>
      </c>
      <c r="H31" s="2">
        <f t="shared" si="6"/>
        <v>30000</v>
      </c>
      <c r="I31" s="2">
        <v>30000</v>
      </c>
    </row>
    <row r="32" spans="1:9" x14ac:dyDescent="0.2">
      <c r="A32" s="1" t="s">
        <v>25</v>
      </c>
      <c r="B32" s="2">
        <v>0</v>
      </c>
      <c r="C32" s="2">
        <v>0</v>
      </c>
      <c r="D32" s="2">
        <v>0</v>
      </c>
      <c r="E32" s="2">
        <v>0</v>
      </c>
      <c r="F32" s="2">
        <f t="shared" si="5"/>
        <v>250</v>
      </c>
      <c r="G32" s="2">
        <v>85</v>
      </c>
      <c r="H32" s="2">
        <f t="shared" si="6"/>
        <v>3000</v>
      </c>
      <c r="I32" s="2">
        <v>3000</v>
      </c>
    </row>
    <row r="33" spans="1:9" x14ac:dyDescent="0.2">
      <c r="A33" s="1" t="s">
        <v>26</v>
      </c>
      <c r="B33" s="2">
        <v>0</v>
      </c>
      <c r="C33" s="2">
        <v>0</v>
      </c>
      <c r="D33" s="2">
        <v>0</v>
      </c>
      <c r="E33" s="2">
        <f t="shared" si="4"/>
        <v>0</v>
      </c>
      <c r="F33" s="2">
        <f t="shared" si="5"/>
        <v>7500</v>
      </c>
      <c r="G33" s="2">
        <v>106951.87</v>
      </c>
      <c r="H33" s="2">
        <f t="shared" si="6"/>
        <v>90000</v>
      </c>
      <c r="I33" s="2">
        <v>90000</v>
      </c>
    </row>
    <row r="34" spans="1:9" x14ac:dyDescent="0.2">
      <c r="A34" s="1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" t="s">
        <v>69</v>
      </c>
      <c r="B39" s="2"/>
      <c r="C39" s="2"/>
      <c r="D39" s="2"/>
      <c r="E39" s="2"/>
      <c r="F39" s="2"/>
      <c r="G39" s="2"/>
      <c r="H39" s="2"/>
      <c r="I39" s="2"/>
    </row>
    <row r="40" spans="1:9" x14ac:dyDescent="0.2">
      <c r="B40" s="1" t="s">
        <v>57</v>
      </c>
      <c r="C40" t="s">
        <v>58</v>
      </c>
      <c r="D40" s="1" t="s">
        <v>59</v>
      </c>
      <c r="E40" s="1" t="s">
        <v>60</v>
      </c>
      <c r="F40" s="1" t="s">
        <v>61</v>
      </c>
      <c r="G40" s="1" t="s">
        <v>62</v>
      </c>
      <c r="H40" s="1" t="s">
        <v>62</v>
      </c>
      <c r="I40" s="1" t="s">
        <v>63</v>
      </c>
    </row>
    <row r="41" spans="1:9" x14ac:dyDescent="0.2">
      <c r="B41" s="1"/>
      <c r="D41" s="1"/>
      <c r="E41" s="1" t="s">
        <v>68</v>
      </c>
      <c r="F41" s="1" t="s">
        <v>65</v>
      </c>
      <c r="G41" s="1" t="s">
        <v>68</v>
      </c>
      <c r="H41" s="1" t="s">
        <v>67</v>
      </c>
      <c r="I41" s="1" t="s">
        <v>67</v>
      </c>
    </row>
    <row r="42" spans="1:9" x14ac:dyDescent="0.2">
      <c r="A42" s="1" t="s">
        <v>27</v>
      </c>
      <c r="B42" s="2">
        <v>3661.23</v>
      </c>
      <c r="C42" s="2">
        <v>4996.63</v>
      </c>
      <c r="D42" s="2">
        <v>2534.38</v>
      </c>
      <c r="E42" s="2">
        <f t="shared" ref="E42:E44" si="7">B42+C42+D42</f>
        <v>11192.240000000002</v>
      </c>
      <c r="F42" s="2">
        <f t="shared" ref="F42" si="8">I42/12</f>
        <v>11083.333333333334</v>
      </c>
      <c r="G42" s="2">
        <v>131849.75</v>
      </c>
      <c r="H42" s="2">
        <f>F42*12</f>
        <v>133000</v>
      </c>
      <c r="I42" s="2">
        <v>133000</v>
      </c>
    </row>
    <row r="43" spans="1:9" x14ac:dyDescent="0.2">
      <c r="A43" s="1" t="s">
        <v>28</v>
      </c>
      <c r="B43" s="2">
        <v>0</v>
      </c>
      <c r="C43" s="2">
        <v>0</v>
      </c>
      <c r="D43" s="2">
        <v>0</v>
      </c>
      <c r="E43" s="2">
        <f t="shared" si="7"/>
        <v>0</v>
      </c>
      <c r="F43" s="2">
        <f t="shared" ref="F43:F44" si="9">I43/12</f>
        <v>24166.666666666668</v>
      </c>
      <c r="G43" s="2">
        <v>278412.46999999997</v>
      </c>
      <c r="H43" s="2">
        <f t="shared" ref="H43:H69" si="10">F43*12</f>
        <v>290000</v>
      </c>
      <c r="I43" s="2">
        <v>290000</v>
      </c>
    </row>
    <row r="44" spans="1:9" x14ac:dyDescent="0.2">
      <c r="A44" s="1" t="s">
        <v>29</v>
      </c>
      <c r="B44" s="2">
        <v>0</v>
      </c>
      <c r="C44" s="2">
        <v>0</v>
      </c>
      <c r="D44" s="2">
        <v>0</v>
      </c>
      <c r="E44" s="2">
        <f t="shared" si="7"/>
        <v>0</v>
      </c>
      <c r="F44" s="2">
        <f t="shared" si="9"/>
        <v>333.33333333333331</v>
      </c>
      <c r="G44" s="2">
        <v>4204.7299999999996</v>
      </c>
      <c r="H44" s="2">
        <f t="shared" si="10"/>
        <v>4000</v>
      </c>
      <c r="I44" s="2">
        <v>4000</v>
      </c>
    </row>
    <row r="45" spans="1:9" x14ac:dyDescent="0.2">
      <c r="A45" s="1" t="s">
        <v>30</v>
      </c>
      <c r="B45" s="2">
        <v>0</v>
      </c>
      <c r="C45" s="2">
        <v>71.25</v>
      </c>
      <c r="D45" s="2">
        <v>71.25</v>
      </c>
      <c r="E45" s="2">
        <f>B45+C45+D45</f>
        <v>142.5</v>
      </c>
      <c r="F45" s="2">
        <f>I45/12</f>
        <v>1166.6666666666667</v>
      </c>
      <c r="G45" s="2">
        <v>12393.77</v>
      </c>
      <c r="H45" s="2">
        <f t="shared" si="10"/>
        <v>14000</v>
      </c>
      <c r="I45" s="2">
        <v>14000</v>
      </c>
    </row>
    <row r="46" spans="1:9" x14ac:dyDescent="0.2">
      <c r="A46" s="1" t="s">
        <v>32</v>
      </c>
      <c r="B46" s="2">
        <v>0</v>
      </c>
      <c r="C46" s="2">
        <v>0</v>
      </c>
      <c r="D46" s="2">
        <v>0</v>
      </c>
      <c r="E46" s="2">
        <f t="shared" ref="E46:E68" si="11">B46+C46+D46</f>
        <v>0</v>
      </c>
      <c r="F46" s="2">
        <f t="shared" ref="F46:F69" si="12">I46/12</f>
        <v>666.66666666666663</v>
      </c>
      <c r="G46" s="2">
        <f>+B46+C46+D46</f>
        <v>0</v>
      </c>
      <c r="H46" s="2">
        <f t="shared" si="10"/>
        <v>8000</v>
      </c>
      <c r="I46" s="2">
        <v>8000</v>
      </c>
    </row>
    <row r="47" spans="1:9" x14ac:dyDescent="0.2">
      <c r="A47" s="1" t="s">
        <v>33</v>
      </c>
      <c r="B47" s="2">
        <v>0</v>
      </c>
      <c r="C47" s="2">
        <v>0</v>
      </c>
      <c r="D47" s="2">
        <v>639.11</v>
      </c>
      <c r="E47" s="2">
        <f t="shared" si="11"/>
        <v>639.11</v>
      </c>
      <c r="F47" s="2">
        <f t="shared" si="12"/>
        <v>500</v>
      </c>
      <c r="G47" s="2">
        <v>5108.8</v>
      </c>
      <c r="H47" s="2">
        <f t="shared" si="10"/>
        <v>6000</v>
      </c>
      <c r="I47" s="2">
        <v>6000</v>
      </c>
    </row>
    <row r="48" spans="1:9" x14ac:dyDescent="0.2">
      <c r="A48" s="1" t="s">
        <v>34</v>
      </c>
      <c r="B48" s="2">
        <v>0</v>
      </c>
      <c r="C48" s="2">
        <v>0</v>
      </c>
      <c r="D48" s="2">
        <v>924.4</v>
      </c>
      <c r="E48" s="2">
        <f t="shared" si="11"/>
        <v>924.4</v>
      </c>
      <c r="F48" s="2">
        <f t="shared" si="12"/>
        <v>1125</v>
      </c>
      <c r="G48" s="2">
        <v>6732.73</v>
      </c>
      <c r="H48" s="2">
        <f t="shared" si="10"/>
        <v>13500</v>
      </c>
      <c r="I48" s="2">
        <v>13500</v>
      </c>
    </row>
    <row r="49" spans="1:9" x14ac:dyDescent="0.2">
      <c r="A49" s="1" t="s">
        <v>35</v>
      </c>
      <c r="B49" s="2">
        <v>0</v>
      </c>
      <c r="C49" s="2">
        <v>5340.85</v>
      </c>
      <c r="D49" s="2">
        <v>11407.19</v>
      </c>
      <c r="E49" s="2">
        <f t="shared" si="11"/>
        <v>16748.04</v>
      </c>
      <c r="F49" s="2">
        <f t="shared" si="12"/>
        <v>13333.333333333334</v>
      </c>
      <c r="G49" s="2">
        <v>160063.82</v>
      </c>
      <c r="H49" s="2">
        <f t="shared" si="10"/>
        <v>160000</v>
      </c>
      <c r="I49" s="2">
        <v>160000</v>
      </c>
    </row>
    <row r="50" spans="1:9" x14ac:dyDescent="0.2">
      <c r="A50" s="1" t="s">
        <v>36</v>
      </c>
      <c r="B50" s="2">
        <v>0</v>
      </c>
      <c r="C50" s="2">
        <v>86785.3</v>
      </c>
      <c r="D50" s="2">
        <v>0</v>
      </c>
      <c r="E50" s="2">
        <f t="shared" si="11"/>
        <v>86785.3</v>
      </c>
      <c r="F50" s="2">
        <f t="shared" si="12"/>
        <v>104166.66666666667</v>
      </c>
      <c r="G50" s="2">
        <v>1197399.06</v>
      </c>
      <c r="H50" s="2">
        <f t="shared" si="10"/>
        <v>1250000</v>
      </c>
      <c r="I50" s="2">
        <v>1250000</v>
      </c>
    </row>
    <row r="51" spans="1:9" x14ac:dyDescent="0.2">
      <c r="A51" s="1" t="s">
        <v>37</v>
      </c>
      <c r="B51" s="2">
        <v>0</v>
      </c>
      <c r="C51" s="2">
        <v>797.11</v>
      </c>
      <c r="D51" s="2">
        <v>0</v>
      </c>
      <c r="E51" s="2">
        <f t="shared" si="11"/>
        <v>797.11</v>
      </c>
      <c r="F51" s="2">
        <f t="shared" si="12"/>
        <v>250</v>
      </c>
      <c r="G51" s="2">
        <v>3549.49</v>
      </c>
      <c r="H51" s="2">
        <f t="shared" si="10"/>
        <v>3000</v>
      </c>
      <c r="I51" s="2">
        <v>3000</v>
      </c>
    </row>
    <row r="52" spans="1:9" x14ac:dyDescent="0.2">
      <c r="A52" s="1" t="s">
        <v>38</v>
      </c>
      <c r="B52" s="2">
        <v>0</v>
      </c>
      <c r="C52" s="2">
        <v>1067</v>
      </c>
      <c r="D52" s="2">
        <v>0</v>
      </c>
      <c r="E52" s="2">
        <f t="shared" si="11"/>
        <v>1067</v>
      </c>
      <c r="F52" s="2">
        <f t="shared" si="12"/>
        <v>1416.6666666666667</v>
      </c>
      <c r="G52" s="2">
        <v>12881</v>
      </c>
      <c r="H52" s="2">
        <f t="shared" si="10"/>
        <v>17000</v>
      </c>
      <c r="I52" s="2">
        <v>17000</v>
      </c>
    </row>
    <row r="53" spans="1:9" x14ac:dyDescent="0.2">
      <c r="A53" s="1" t="s">
        <v>39</v>
      </c>
      <c r="B53" s="2">
        <v>0</v>
      </c>
      <c r="C53" s="2">
        <v>398.65</v>
      </c>
      <c r="D53" s="2">
        <v>0</v>
      </c>
      <c r="E53" s="2">
        <f t="shared" si="11"/>
        <v>398.65</v>
      </c>
      <c r="F53" s="2">
        <f t="shared" si="12"/>
        <v>833.33333333333337</v>
      </c>
      <c r="G53" s="2">
        <v>1679.82</v>
      </c>
      <c r="H53" s="2">
        <f t="shared" si="10"/>
        <v>10000</v>
      </c>
      <c r="I53" s="2">
        <v>10000</v>
      </c>
    </row>
    <row r="54" spans="1:9" x14ac:dyDescent="0.2">
      <c r="A54" s="1" t="s">
        <v>40</v>
      </c>
      <c r="B54" s="2">
        <v>0</v>
      </c>
      <c r="C54" s="2">
        <v>0</v>
      </c>
      <c r="D54" s="2">
        <v>0</v>
      </c>
      <c r="E54" s="2">
        <f t="shared" si="11"/>
        <v>0</v>
      </c>
      <c r="F54" s="2">
        <f t="shared" si="12"/>
        <v>400</v>
      </c>
      <c r="G54" s="2">
        <v>3321</v>
      </c>
      <c r="H54" s="2">
        <f t="shared" si="10"/>
        <v>4800</v>
      </c>
      <c r="I54" s="2">
        <v>4800</v>
      </c>
    </row>
    <row r="55" spans="1:9" x14ac:dyDescent="0.2">
      <c r="A55" s="1" t="s">
        <v>41</v>
      </c>
      <c r="B55" s="2">
        <v>2151.62</v>
      </c>
      <c r="C55" s="2">
        <v>0</v>
      </c>
      <c r="D55" s="2">
        <v>0</v>
      </c>
      <c r="E55" s="2">
        <f t="shared" si="11"/>
        <v>2151.62</v>
      </c>
      <c r="F55" s="2">
        <f t="shared" si="12"/>
        <v>2500</v>
      </c>
      <c r="G55" s="2">
        <v>18948.59</v>
      </c>
      <c r="H55" s="2">
        <f t="shared" si="10"/>
        <v>30000</v>
      </c>
      <c r="I55" s="2">
        <v>30000</v>
      </c>
    </row>
    <row r="56" spans="1:9" x14ac:dyDescent="0.2">
      <c r="A56" s="1" t="s">
        <v>42</v>
      </c>
      <c r="B56" s="2">
        <v>0</v>
      </c>
      <c r="C56" s="2">
        <v>464</v>
      </c>
      <c r="D56" s="2">
        <v>0</v>
      </c>
      <c r="E56" s="2">
        <f t="shared" si="11"/>
        <v>464</v>
      </c>
      <c r="F56" s="2">
        <f t="shared" si="12"/>
        <v>2666.6666666666665</v>
      </c>
      <c r="G56" s="2">
        <v>36490.49</v>
      </c>
      <c r="H56" s="2">
        <f t="shared" si="10"/>
        <v>32000</v>
      </c>
      <c r="I56" s="2">
        <v>32000</v>
      </c>
    </row>
    <row r="57" spans="1:9" x14ac:dyDescent="0.2">
      <c r="A57" s="1" t="s">
        <v>43</v>
      </c>
      <c r="B57" s="2">
        <v>0</v>
      </c>
      <c r="C57" s="2">
        <v>3151.23</v>
      </c>
      <c r="D57" s="2">
        <v>0</v>
      </c>
      <c r="E57" s="2">
        <f t="shared" si="11"/>
        <v>3151.23</v>
      </c>
      <c r="F57" s="2">
        <f t="shared" si="12"/>
        <v>3333.3333333333335</v>
      </c>
      <c r="G57" s="2">
        <v>35754.339999999997</v>
      </c>
      <c r="H57" s="2">
        <f t="shared" si="10"/>
        <v>40000</v>
      </c>
      <c r="I57" s="2">
        <v>40000</v>
      </c>
    </row>
    <row r="58" spans="1:9" x14ac:dyDescent="0.2">
      <c r="A58" s="1" t="s">
        <v>44</v>
      </c>
      <c r="B58" s="2">
        <v>0</v>
      </c>
      <c r="C58" s="2">
        <v>0</v>
      </c>
      <c r="D58" s="2">
        <v>0</v>
      </c>
      <c r="E58" s="2">
        <f t="shared" si="11"/>
        <v>0</v>
      </c>
      <c r="F58" s="2">
        <f t="shared" si="12"/>
        <v>1250</v>
      </c>
      <c r="G58" s="2">
        <v>9467</v>
      </c>
      <c r="H58" s="2">
        <f t="shared" si="10"/>
        <v>15000</v>
      </c>
      <c r="I58" s="2">
        <v>15000</v>
      </c>
    </row>
    <row r="59" spans="1:9" x14ac:dyDescent="0.2">
      <c r="A59" s="1" t="s">
        <v>45</v>
      </c>
      <c r="B59" s="2">
        <v>0</v>
      </c>
      <c r="C59" s="2">
        <v>5523.51</v>
      </c>
      <c r="D59" s="2">
        <v>0</v>
      </c>
      <c r="E59" s="2">
        <f t="shared" si="11"/>
        <v>5523.51</v>
      </c>
      <c r="F59" s="2">
        <f t="shared" si="12"/>
        <v>1500</v>
      </c>
      <c r="G59" s="2">
        <v>11494.22</v>
      </c>
      <c r="H59" s="2">
        <f t="shared" si="10"/>
        <v>18000</v>
      </c>
      <c r="I59" s="2">
        <v>18000</v>
      </c>
    </row>
    <row r="60" spans="1:9" x14ac:dyDescent="0.2">
      <c r="A60" s="1" t="s">
        <v>46</v>
      </c>
      <c r="B60" s="2">
        <v>2357.69</v>
      </c>
      <c r="C60" s="2">
        <v>0</v>
      </c>
      <c r="D60" s="2">
        <v>0</v>
      </c>
      <c r="E60" s="2">
        <f t="shared" si="11"/>
        <v>2357.69</v>
      </c>
      <c r="F60" s="2">
        <f t="shared" si="12"/>
        <v>1666.6666666666667</v>
      </c>
      <c r="G60" s="2">
        <v>10956.32</v>
      </c>
      <c r="H60" s="2">
        <f t="shared" si="10"/>
        <v>20000</v>
      </c>
      <c r="I60" s="2">
        <v>20000</v>
      </c>
    </row>
    <row r="61" spans="1:9" x14ac:dyDescent="0.2">
      <c r="A61" s="1" t="s">
        <v>47</v>
      </c>
      <c r="B61" s="2">
        <v>10547.47</v>
      </c>
      <c r="C61" s="2">
        <v>0</v>
      </c>
      <c r="D61" s="2">
        <v>0</v>
      </c>
      <c r="E61" s="2">
        <f t="shared" si="11"/>
        <v>10547.47</v>
      </c>
      <c r="F61" s="2">
        <f t="shared" si="12"/>
        <v>12083.333333333334</v>
      </c>
      <c r="G61" s="2">
        <v>138881.54999999999</v>
      </c>
      <c r="H61" s="2">
        <f t="shared" si="10"/>
        <v>145000</v>
      </c>
      <c r="I61" s="2">
        <v>145000</v>
      </c>
    </row>
    <row r="62" spans="1:9" x14ac:dyDescent="0.2">
      <c r="A62" s="1" t="s">
        <v>48</v>
      </c>
      <c r="B62" s="2">
        <v>0</v>
      </c>
      <c r="C62" s="2">
        <v>0</v>
      </c>
      <c r="D62" s="2">
        <v>0</v>
      </c>
      <c r="E62" s="2">
        <f t="shared" si="11"/>
        <v>0</v>
      </c>
      <c r="F62" s="2">
        <f t="shared" si="12"/>
        <v>83.333333333333329</v>
      </c>
      <c r="G62" s="2">
        <v>184</v>
      </c>
      <c r="H62" s="2">
        <f t="shared" si="10"/>
        <v>1000</v>
      </c>
      <c r="I62" s="2">
        <v>1000</v>
      </c>
    </row>
    <row r="63" spans="1:9" x14ac:dyDescent="0.2">
      <c r="A63" s="1" t="s">
        <v>49</v>
      </c>
      <c r="B63" s="2">
        <v>177.15</v>
      </c>
      <c r="C63" s="2">
        <v>0</v>
      </c>
      <c r="D63" s="2">
        <v>0</v>
      </c>
      <c r="E63" s="2">
        <f t="shared" si="11"/>
        <v>177.15</v>
      </c>
      <c r="F63" s="2">
        <f t="shared" si="12"/>
        <v>208.33333333333334</v>
      </c>
      <c r="G63" s="2">
        <v>1699.17</v>
      </c>
      <c r="H63" s="2">
        <f t="shared" si="10"/>
        <v>2500</v>
      </c>
      <c r="I63" s="2">
        <v>2500</v>
      </c>
    </row>
    <row r="64" spans="1:9" x14ac:dyDescent="0.2">
      <c r="A64" s="1" t="s">
        <v>50</v>
      </c>
      <c r="B64" s="2">
        <v>0</v>
      </c>
      <c r="C64" s="2">
        <v>0</v>
      </c>
      <c r="D64" s="2">
        <v>0</v>
      </c>
      <c r="E64" s="2">
        <f t="shared" si="11"/>
        <v>0</v>
      </c>
      <c r="F64" s="2">
        <f t="shared" si="12"/>
        <v>2500</v>
      </c>
      <c r="G64" s="2">
        <v>21795</v>
      </c>
      <c r="H64" s="2">
        <f t="shared" si="10"/>
        <v>30000</v>
      </c>
      <c r="I64" s="2">
        <v>30000</v>
      </c>
    </row>
    <row r="65" spans="1:9" x14ac:dyDescent="0.2">
      <c r="A65" s="1" t="s">
        <v>51</v>
      </c>
      <c r="B65" s="2">
        <v>0</v>
      </c>
      <c r="C65" s="2">
        <v>0</v>
      </c>
      <c r="D65" s="2">
        <v>0</v>
      </c>
      <c r="E65" s="2">
        <f t="shared" si="11"/>
        <v>0</v>
      </c>
      <c r="F65" s="2">
        <f t="shared" si="12"/>
        <v>0</v>
      </c>
      <c r="G65" s="2">
        <f>+B65+C65+D65</f>
        <v>0</v>
      </c>
      <c r="H65" s="2">
        <f t="shared" si="10"/>
        <v>0</v>
      </c>
      <c r="I65" s="2">
        <v>0</v>
      </c>
    </row>
    <row r="66" spans="1:9" x14ac:dyDescent="0.2">
      <c r="A66" s="1" t="s">
        <v>52</v>
      </c>
      <c r="B66" s="2">
        <v>0</v>
      </c>
      <c r="C66" s="2">
        <v>2636.23</v>
      </c>
      <c r="D66" s="2">
        <v>0</v>
      </c>
      <c r="E66" s="2">
        <f t="shared" si="11"/>
        <v>2636.23</v>
      </c>
      <c r="F66" s="2">
        <f t="shared" si="12"/>
        <v>4000</v>
      </c>
      <c r="G66" s="2">
        <v>41347.97</v>
      </c>
      <c r="H66" s="2">
        <f t="shared" si="10"/>
        <v>48000</v>
      </c>
      <c r="I66" s="2">
        <v>48000</v>
      </c>
    </row>
    <row r="67" spans="1:9" x14ac:dyDescent="0.2">
      <c r="A67" s="1" t="s">
        <v>53</v>
      </c>
      <c r="B67" s="2">
        <v>0</v>
      </c>
      <c r="C67" s="2">
        <v>317.89</v>
      </c>
      <c r="D67" s="2">
        <v>0</v>
      </c>
      <c r="E67" s="2">
        <f t="shared" si="11"/>
        <v>317.89</v>
      </c>
      <c r="F67" s="2">
        <f t="shared" si="12"/>
        <v>833.33333333333337</v>
      </c>
      <c r="G67" s="2">
        <v>4461.84</v>
      </c>
      <c r="H67" s="2">
        <f t="shared" si="10"/>
        <v>10000</v>
      </c>
      <c r="I67" s="2">
        <v>10000</v>
      </c>
    </row>
    <row r="68" spans="1:9" x14ac:dyDescent="0.2">
      <c r="A68" s="1" t="s">
        <v>54</v>
      </c>
      <c r="B68" s="2">
        <v>0</v>
      </c>
      <c r="C68" s="2">
        <v>0</v>
      </c>
      <c r="D68" s="2">
        <v>6.2</v>
      </c>
      <c r="E68" s="2">
        <f t="shared" si="11"/>
        <v>6.2</v>
      </c>
      <c r="F68" s="2">
        <f t="shared" si="12"/>
        <v>41.666666666666664</v>
      </c>
      <c r="G68" s="2">
        <v>10.37</v>
      </c>
      <c r="H68" s="2">
        <f t="shared" si="10"/>
        <v>500</v>
      </c>
      <c r="I68" s="2">
        <v>500</v>
      </c>
    </row>
    <row r="69" spans="1:9" x14ac:dyDescent="0.2">
      <c r="A69" s="1" t="s">
        <v>72</v>
      </c>
      <c r="B69" s="2">
        <v>0</v>
      </c>
      <c r="C69" s="2">
        <v>0</v>
      </c>
      <c r="D69" s="2">
        <v>0</v>
      </c>
      <c r="E69" s="2">
        <v>0</v>
      </c>
      <c r="F69" s="2">
        <f t="shared" si="12"/>
        <v>1666.6666666666667</v>
      </c>
      <c r="G69" s="2">
        <v>0</v>
      </c>
      <c r="H69" s="2">
        <f t="shared" si="10"/>
        <v>20000</v>
      </c>
      <c r="I69" s="2">
        <v>20000</v>
      </c>
    </row>
    <row r="70" spans="1:9" x14ac:dyDescent="0.2">
      <c r="A70" s="1" t="s">
        <v>55</v>
      </c>
      <c r="B70" s="2">
        <f t="shared" ref="B70:G70" si="13">SUM(B21:B69)</f>
        <v>55997.670000000006</v>
      </c>
      <c r="C70" s="2">
        <f t="shared" si="13"/>
        <v>143700.49000000002</v>
      </c>
      <c r="D70" s="2">
        <f t="shared" si="13"/>
        <v>42682.1</v>
      </c>
      <c r="E70" s="2">
        <f t="shared" si="13"/>
        <v>242380.26000000004</v>
      </c>
      <c r="F70" s="2">
        <f t="shared" si="13"/>
        <v>307650</v>
      </c>
      <c r="G70" s="2">
        <f t="shared" si="13"/>
        <v>3429945.49</v>
      </c>
      <c r="H70" s="2">
        <f>SUM(H21:H69)</f>
        <v>3691800</v>
      </c>
      <c r="I70" s="2">
        <f>SUM(I21:I69)</f>
        <v>3691800</v>
      </c>
    </row>
    <row r="71" spans="1:9" x14ac:dyDescent="0.2">
      <c r="B71" s="2"/>
      <c r="C71" s="2" t="s">
        <v>69</v>
      </c>
      <c r="D71" s="2"/>
      <c r="E71" s="2"/>
      <c r="F71" s="2"/>
      <c r="G71" s="2"/>
      <c r="H71" s="2"/>
      <c r="I71" s="2"/>
    </row>
    <row r="72" spans="1:9" x14ac:dyDescent="0.2">
      <c r="A72" s="1" t="s">
        <v>56</v>
      </c>
      <c r="B72" s="2">
        <f>B16-B70</f>
        <v>-55997.670000000006</v>
      </c>
      <c r="C72" s="2">
        <f>C16-C70</f>
        <v>31088.709999999992</v>
      </c>
      <c r="D72" s="2">
        <f>D16-D70</f>
        <v>68104.329999999987</v>
      </c>
      <c r="E72" s="3">
        <f>E16-E70</f>
        <v>43195.369999999966</v>
      </c>
      <c r="G72" s="3">
        <f>G16-G70</f>
        <v>216474.58999999985</v>
      </c>
    </row>
  </sheetData>
  <phoneticPr fontId="0" type="noConversion"/>
  <pageMargins left="0.75" right="0.75" top="1" bottom="1" header="0.5" footer="0.5"/>
  <pageSetup orientation="landscape" r:id="rId1"/>
  <headerFooter alignWithMargins="0">
    <oddHeader>&amp;CBARTOW MUNICIPAL AIRPORT DEVELOPMENT AUTHORITY
CASH FLOW SUMMARY FOR SEPTEMBER 2014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97</v>
      </c>
    </row>
    <row r="4" spans="1:10" x14ac:dyDescent="0.2">
      <c r="F4" s="7"/>
      <c r="H4" s="7"/>
      <c r="J4" s="16">
        <v>0.83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1" t="s">
        <v>61</v>
      </c>
      <c r="G5" s="41" t="s">
        <v>62</v>
      </c>
      <c r="H5" s="41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1" t="s">
        <v>65</v>
      </c>
      <c r="G6" s="41" t="s">
        <v>66</v>
      </c>
      <c r="H6" s="41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0</v>
      </c>
      <c r="D7" s="13">
        <v>146941.29999999999</v>
      </c>
      <c r="E7" s="14">
        <f>SUM(B7:D7)</f>
        <v>146941.29999999999</v>
      </c>
      <c r="F7" s="13">
        <f>I7/12</f>
        <v>148333.33333333334</v>
      </c>
      <c r="G7" s="13">
        <v>1409795.52</v>
      </c>
      <c r="H7" s="13">
        <f>F7*10</f>
        <v>1483333.3333333335</v>
      </c>
      <c r="I7" s="13">
        <v>1780000</v>
      </c>
      <c r="J7" s="32">
        <f>+G7/I7</f>
        <v>0.79201995505617984</v>
      </c>
    </row>
    <row r="8" spans="1:10" x14ac:dyDescent="0.2">
      <c r="A8" s="11" t="s">
        <v>2</v>
      </c>
      <c r="B8" s="13">
        <v>0</v>
      </c>
      <c r="C8" s="13">
        <v>935.14</v>
      </c>
      <c r="D8" s="13">
        <v>6756.49</v>
      </c>
      <c r="E8" s="14">
        <f t="shared" ref="E8:E18" si="0">SUM(B8:D8)</f>
        <v>7691.63</v>
      </c>
      <c r="F8" s="13">
        <f t="shared" ref="F8:F18" si="1">I8/12</f>
        <v>6083.333333333333</v>
      </c>
      <c r="G8" s="13">
        <v>70520.800000000003</v>
      </c>
      <c r="H8" s="13">
        <f t="shared" ref="H8:H18" si="2">F8*10</f>
        <v>60833.333333333328</v>
      </c>
      <c r="I8" s="13">
        <v>73000</v>
      </c>
      <c r="J8" s="32">
        <f t="shared" ref="J8:J19" si="3">+G8/I8</f>
        <v>0.9660383561643836</v>
      </c>
    </row>
    <row r="9" spans="1:10" x14ac:dyDescent="0.2">
      <c r="A9" s="11" t="s">
        <v>71</v>
      </c>
      <c r="B9" s="13">
        <v>0</v>
      </c>
      <c r="C9" s="13">
        <v>0</v>
      </c>
      <c r="D9" s="13">
        <v>0</v>
      </c>
      <c r="E9" s="14">
        <f t="shared" si="0"/>
        <v>0</v>
      </c>
      <c r="F9" s="13">
        <f t="shared" si="1"/>
        <v>1250</v>
      </c>
      <c r="G9" s="13">
        <v>9662.6299999999992</v>
      </c>
      <c r="H9" s="13">
        <f t="shared" si="2"/>
        <v>12500</v>
      </c>
      <c r="I9" s="13">
        <v>15000</v>
      </c>
      <c r="J9" s="32">
        <f t="shared" si="3"/>
        <v>0.64417533333333332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5446.62</v>
      </c>
      <c r="E10" s="14">
        <f t="shared" si="0"/>
        <v>5446.62</v>
      </c>
      <c r="F10" s="13">
        <f t="shared" si="1"/>
        <v>3333.3333333333335</v>
      </c>
      <c r="G10" s="13">
        <v>42734.09</v>
      </c>
      <c r="H10" s="13">
        <f t="shared" si="2"/>
        <v>33333.333333333336</v>
      </c>
      <c r="I10" s="13">
        <v>40000</v>
      </c>
      <c r="J10" s="32">
        <f t="shared" si="3"/>
        <v>1.06835225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159.47999999999999</v>
      </c>
      <c r="E11" s="14">
        <f t="shared" si="0"/>
        <v>159.47999999999999</v>
      </c>
      <c r="F11" s="13">
        <f t="shared" si="1"/>
        <v>8333.3333333333339</v>
      </c>
      <c r="G11" s="13">
        <v>88820.24</v>
      </c>
      <c r="H11" s="13">
        <f t="shared" si="2"/>
        <v>83333.333333333343</v>
      </c>
      <c r="I11" s="13">
        <v>100000</v>
      </c>
      <c r="J11" s="32">
        <f t="shared" si="3"/>
        <v>0.88820240000000006</v>
      </c>
    </row>
    <row r="12" spans="1:10" x14ac:dyDescent="0.2">
      <c r="A12" s="11" t="s">
        <v>5</v>
      </c>
      <c r="B12" s="13">
        <v>0</v>
      </c>
      <c r="C12" s="13">
        <v>102437.51</v>
      </c>
      <c r="D12" s="13">
        <v>0</v>
      </c>
      <c r="E12" s="14">
        <f t="shared" si="0"/>
        <v>102437.51</v>
      </c>
      <c r="F12" s="13">
        <f t="shared" si="1"/>
        <v>121666.66666666667</v>
      </c>
      <c r="G12" s="13">
        <v>1242621.6000000001</v>
      </c>
      <c r="H12" s="13">
        <f t="shared" si="2"/>
        <v>1216666.6666666667</v>
      </c>
      <c r="I12" s="13">
        <v>1460000</v>
      </c>
      <c r="J12" s="32">
        <f t="shared" si="3"/>
        <v>0.85111068493150688</v>
      </c>
    </row>
    <row r="13" spans="1:10" x14ac:dyDescent="0.2">
      <c r="A13" s="11" t="s">
        <v>6</v>
      </c>
      <c r="B13" s="13">
        <v>0</v>
      </c>
      <c r="C13" s="13">
        <v>470.12</v>
      </c>
      <c r="D13" s="13">
        <v>0</v>
      </c>
      <c r="E13" s="14">
        <f t="shared" si="0"/>
        <v>470.12</v>
      </c>
      <c r="F13" s="13">
        <f t="shared" si="1"/>
        <v>916.66666666666663</v>
      </c>
      <c r="G13" s="13">
        <v>7322.43</v>
      </c>
      <c r="H13" s="13">
        <f t="shared" si="2"/>
        <v>9166.6666666666661</v>
      </c>
      <c r="I13" s="13">
        <v>11000</v>
      </c>
      <c r="J13" s="32">
        <f t="shared" si="3"/>
        <v>0.66567545454545463</v>
      </c>
    </row>
    <row r="14" spans="1:10" x14ac:dyDescent="0.2">
      <c r="A14" s="11" t="s">
        <v>7</v>
      </c>
      <c r="B14" s="13">
        <v>0</v>
      </c>
      <c r="C14" s="13">
        <v>36463.58</v>
      </c>
      <c r="D14" s="13">
        <v>0</v>
      </c>
      <c r="E14" s="14">
        <f t="shared" si="0"/>
        <v>36463.58</v>
      </c>
      <c r="F14" s="13">
        <f t="shared" si="1"/>
        <v>15833.333333333334</v>
      </c>
      <c r="G14" s="13">
        <v>249254.17</v>
      </c>
      <c r="H14" s="13">
        <f t="shared" si="2"/>
        <v>158333.33333333334</v>
      </c>
      <c r="I14" s="13">
        <v>190000</v>
      </c>
      <c r="J14" s="32">
        <f t="shared" si="3"/>
        <v>1.311864052631579</v>
      </c>
    </row>
    <row r="15" spans="1:10" x14ac:dyDescent="0.2">
      <c r="A15" s="11" t="s">
        <v>8</v>
      </c>
      <c r="B15" s="13">
        <v>0</v>
      </c>
      <c r="C15" s="13">
        <v>439.09</v>
      </c>
      <c r="D15" s="13">
        <v>0</v>
      </c>
      <c r="E15" s="14">
        <f t="shared" si="0"/>
        <v>439.09</v>
      </c>
      <c r="F15" s="13">
        <f t="shared" si="1"/>
        <v>625</v>
      </c>
      <c r="G15" s="13">
        <v>3258.89</v>
      </c>
      <c r="H15" s="13">
        <f t="shared" si="2"/>
        <v>6250</v>
      </c>
      <c r="I15" s="13">
        <v>7500</v>
      </c>
      <c r="J15" s="32">
        <f t="shared" si="3"/>
        <v>0.43451866666666666</v>
      </c>
    </row>
    <row r="16" spans="1:10" x14ac:dyDescent="0.2">
      <c r="A16" s="11" t="s">
        <v>9</v>
      </c>
      <c r="B16" s="13">
        <v>0</v>
      </c>
      <c r="C16" s="13">
        <v>2875.19</v>
      </c>
      <c r="D16" s="13">
        <v>0</v>
      </c>
      <c r="E16" s="14">
        <f t="shared" si="0"/>
        <v>2875.19</v>
      </c>
      <c r="F16" s="13">
        <f t="shared" si="1"/>
        <v>4166.666666666667</v>
      </c>
      <c r="G16" s="13">
        <v>45883.61</v>
      </c>
      <c r="H16" s="13">
        <f t="shared" si="2"/>
        <v>41666.666666666672</v>
      </c>
      <c r="I16" s="13">
        <v>50000</v>
      </c>
      <c r="J16" s="32">
        <f t="shared" si="3"/>
        <v>0.91767220000000005</v>
      </c>
    </row>
    <row r="17" spans="1:11" x14ac:dyDescent="0.2">
      <c r="A17" s="11" t="s">
        <v>10</v>
      </c>
      <c r="B17" s="13">
        <v>0</v>
      </c>
      <c r="C17" s="13">
        <v>50404.24</v>
      </c>
      <c r="D17" s="13">
        <v>0</v>
      </c>
      <c r="E17" s="14">
        <f t="shared" si="0"/>
        <v>50404.24</v>
      </c>
      <c r="F17" s="13">
        <f t="shared" si="1"/>
        <v>48666.666666666664</v>
      </c>
      <c r="G17" s="13">
        <v>505642.54</v>
      </c>
      <c r="H17" s="13">
        <f t="shared" si="2"/>
        <v>486666.66666666663</v>
      </c>
      <c r="I17" s="13">
        <v>584000</v>
      </c>
      <c r="J17" s="32">
        <f t="shared" si="3"/>
        <v>0.86582626712328759</v>
      </c>
    </row>
    <row r="18" spans="1:11" x14ac:dyDescent="0.2">
      <c r="A18" s="11" t="s">
        <v>11</v>
      </c>
      <c r="B18" s="13">
        <v>0</v>
      </c>
      <c r="C18" s="13">
        <v>15278.9</v>
      </c>
      <c r="D18" s="13">
        <v>0</v>
      </c>
      <c r="E18" s="14">
        <f t="shared" si="0"/>
        <v>15278.9</v>
      </c>
      <c r="F18" s="13">
        <f t="shared" si="1"/>
        <v>4583.333333333333</v>
      </c>
      <c r="G18" s="13">
        <v>102927.21</v>
      </c>
      <c r="H18" s="13">
        <f t="shared" si="2"/>
        <v>45833.333333333328</v>
      </c>
      <c r="I18" s="13">
        <v>55000</v>
      </c>
      <c r="J18" s="33">
        <f t="shared" si="3"/>
        <v>1.8714038181818182</v>
      </c>
    </row>
    <row r="19" spans="1:11" x14ac:dyDescent="0.2">
      <c r="A19" s="11" t="s">
        <v>12</v>
      </c>
      <c r="B19" s="43">
        <f t="shared" ref="B19:I19" si="4">SUM(B7:B18)</f>
        <v>0</v>
      </c>
      <c r="C19" s="43">
        <f t="shared" si="4"/>
        <v>209303.76999999996</v>
      </c>
      <c r="D19" s="44">
        <f t="shared" si="4"/>
        <v>159303.88999999998</v>
      </c>
      <c r="E19" s="43">
        <f t="shared" si="4"/>
        <v>368607.66000000003</v>
      </c>
      <c r="F19" s="43">
        <f t="shared" si="4"/>
        <v>363791.66666666674</v>
      </c>
      <c r="G19" s="44">
        <f t="shared" si="4"/>
        <v>3778443.73</v>
      </c>
      <c r="H19" s="43">
        <f>SUM(H7:H18)</f>
        <v>3637916.6666666665</v>
      </c>
      <c r="I19" s="44">
        <f t="shared" si="4"/>
        <v>4365500</v>
      </c>
      <c r="J19" s="37">
        <f t="shared" si="3"/>
        <v>0.86552370404306489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1" t="s">
        <v>61</v>
      </c>
      <c r="G21" s="41" t="s">
        <v>62</v>
      </c>
      <c r="H21" s="41" t="s">
        <v>62</v>
      </c>
      <c r="I21" s="41" t="s">
        <v>63</v>
      </c>
      <c r="J21" s="16">
        <f>+J4</f>
        <v>0.83</v>
      </c>
    </row>
    <row r="22" spans="1:11" x14ac:dyDescent="0.2">
      <c r="A22" s="11"/>
      <c r="B22" s="42"/>
      <c r="C22" s="45"/>
      <c r="D22" s="41"/>
      <c r="E22" s="42" t="s">
        <v>68</v>
      </c>
      <c r="F22" s="41" t="s">
        <v>65</v>
      </c>
      <c r="G22" s="41" t="s">
        <v>68</v>
      </c>
      <c r="H22" s="41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1"/>
      <c r="G23" s="41"/>
      <c r="H23" s="41"/>
      <c r="I23" s="41"/>
      <c r="J23" s="17" t="s">
        <v>75</v>
      </c>
    </row>
    <row r="24" spans="1:11" x14ac:dyDescent="0.2">
      <c r="A24" s="11" t="s">
        <v>14</v>
      </c>
      <c r="B24" s="13">
        <v>23047.68</v>
      </c>
      <c r="C24" s="13">
        <v>35616.699999999997</v>
      </c>
      <c r="D24" s="13">
        <v>12361.96</v>
      </c>
      <c r="E24" s="14">
        <f t="shared" ref="E24:E36" si="5">SUM(B24:D24)</f>
        <v>71026.34</v>
      </c>
      <c r="F24" s="13">
        <f t="shared" ref="F24:F36" si="6">I24/12</f>
        <v>85833.333333333328</v>
      </c>
      <c r="G24" s="13">
        <v>925585.81</v>
      </c>
      <c r="H24" s="13">
        <f t="shared" ref="H24:H36" si="7">F24*10</f>
        <v>858333.33333333326</v>
      </c>
      <c r="I24" s="13">
        <v>1030000</v>
      </c>
      <c r="J24" s="34">
        <f t="shared" ref="J24:J36" si="8">+G24/I24</f>
        <v>0.89862700000000006</v>
      </c>
    </row>
    <row r="25" spans="1:11" x14ac:dyDescent="0.2">
      <c r="A25" s="11" t="s">
        <v>15</v>
      </c>
      <c r="B25" s="13">
        <v>1814.4</v>
      </c>
      <c r="C25" s="13">
        <v>3132.94</v>
      </c>
      <c r="D25" s="13">
        <v>998.31</v>
      </c>
      <c r="E25" s="14">
        <f t="shared" si="5"/>
        <v>5945.65</v>
      </c>
      <c r="F25" s="13">
        <f t="shared" si="6"/>
        <v>6666.666666666667</v>
      </c>
      <c r="G25" s="13">
        <v>77236.83</v>
      </c>
      <c r="H25" s="13">
        <f t="shared" si="7"/>
        <v>66666.666666666672</v>
      </c>
      <c r="I25" s="13">
        <v>80000</v>
      </c>
      <c r="J25" s="34">
        <f t="shared" si="8"/>
        <v>0.96546037500000004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5"/>
        <v>0</v>
      </c>
      <c r="F26" s="13">
        <f t="shared" si="6"/>
        <v>625</v>
      </c>
      <c r="G26" s="13">
        <f t="shared" ref="G26:G35" si="9">E26</f>
        <v>0</v>
      </c>
      <c r="H26" s="13">
        <f t="shared" si="7"/>
        <v>6250</v>
      </c>
      <c r="I26" s="13">
        <v>7500</v>
      </c>
      <c r="J26" s="34">
        <f t="shared" si="8"/>
        <v>0</v>
      </c>
    </row>
    <row r="27" spans="1:11" x14ac:dyDescent="0.2">
      <c r="A27" s="11" t="s">
        <v>17</v>
      </c>
      <c r="B27" s="13">
        <v>933.92</v>
      </c>
      <c r="C27" s="13">
        <v>821.6</v>
      </c>
      <c r="D27" s="13">
        <v>804.64</v>
      </c>
      <c r="E27" s="14">
        <f t="shared" si="5"/>
        <v>2560.16</v>
      </c>
      <c r="F27" s="13">
        <f t="shared" si="6"/>
        <v>3600</v>
      </c>
      <c r="G27" s="13">
        <v>33127.199999999997</v>
      </c>
      <c r="H27" s="13">
        <f t="shared" si="7"/>
        <v>36000</v>
      </c>
      <c r="I27" s="13">
        <v>43200</v>
      </c>
      <c r="J27" s="34">
        <f t="shared" si="8"/>
        <v>0.76683333333333326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5"/>
        <v>0</v>
      </c>
      <c r="F28" s="13">
        <f t="shared" si="6"/>
        <v>8750</v>
      </c>
      <c r="G28" s="13">
        <v>105312.99</v>
      </c>
      <c r="H28" s="13">
        <f t="shared" si="7"/>
        <v>87500</v>
      </c>
      <c r="I28" s="13">
        <v>105000</v>
      </c>
      <c r="J28" s="34">
        <f t="shared" si="8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5"/>
        <v>0</v>
      </c>
      <c r="F29" s="13">
        <f t="shared" si="6"/>
        <v>833.33333333333337</v>
      </c>
      <c r="G29" s="13">
        <f t="shared" si="9"/>
        <v>0</v>
      </c>
      <c r="H29" s="13">
        <f t="shared" si="7"/>
        <v>8333.3333333333339</v>
      </c>
      <c r="I29" s="13">
        <f>10000</f>
        <v>10000</v>
      </c>
      <c r="J29" s="34">
        <f t="shared" si="8"/>
        <v>0</v>
      </c>
    </row>
    <row r="30" spans="1:11" x14ac:dyDescent="0.2">
      <c r="A30" s="11" t="s">
        <v>20</v>
      </c>
      <c r="B30" s="13">
        <v>0</v>
      </c>
      <c r="C30" s="13">
        <v>0</v>
      </c>
      <c r="D30" s="13">
        <v>0</v>
      </c>
      <c r="E30" s="14">
        <f t="shared" si="5"/>
        <v>0</v>
      </c>
      <c r="F30" s="13">
        <f t="shared" si="6"/>
        <v>2083.3333333333335</v>
      </c>
      <c r="G30" s="13">
        <v>14175</v>
      </c>
      <c r="H30" s="13">
        <f t="shared" si="7"/>
        <v>20833.333333333336</v>
      </c>
      <c r="I30" s="13">
        <v>25000</v>
      </c>
      <c r="J30" s="34">
        <f t="shared" si="8"/>
        <v>0.56699999999999995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0</v>
      </c>
      <c r="E31" s="14">
        <f t="shared" si="5"/>
        <v>0</v>
      </c>
      <c r="F31" s="13">
        <f t="shared" si="6"/>
        <v>1750</v>
      </c>
      <c r="G31" s="13">
        <v>12942.61</v>
      </c>
      <c r="H31" s="13">
        <f t="shared" si="7"/>
        <v>17500</v>
      </c>
      <c r="I31" s="13">
        <v>21000</v>
      </c>
      <c r="J31" s="34">
        <f t="shared" si="8"/>
        <v>0.61631476190476198</v>
      </c>
    </row>
    <row r="32" spans="1:11" x14ac:dyDescent="0.2">
      <c r="A32" s="11" t="s">
        <v>22</v>
      </c>
      <c r="B32" s="13">
        <v>0</v>
      </c>
      <c r="C32" s="13">
        <v>968.8</v>
      </c>
      <c r="D32" s="13">
        <v>863.05</v>
      </c>
      <c r="E32" s="14">
        <f t="shared" si="5"/>
        <v>1831.85</v>
      </c>
      <c r="F32" s="13">
        <f t="shared" si="6"/>
        <v>2666.6666666666665</v>
      </c>
      <c r="G32" s="13">
        <v>20248.27</v>
      </c>
      <c r="H32" s="13">
        <f t="shared" si="7"/>
        <v>26666.666666666664</v>
      </c>
      <c r="I32" s="13">
        <v>32000</v>
      </c>
      <c r="J32" s="34">
        <f t="shared" si="8"/>
        <v>0.63275843750000005</v>
      </c>
    </row>
    <row r="33" spans="1:19" x14ac:dyDescent="0.2">
      <c r="A33" s="11" t="s">
        <v>23</v>
      </c>
      <c r="B33" s="13">
        <v>102.35</v>
      </c>
      <c r="C33" s="13">
        <v>4753.67</v>
      </c>
      <c r="D33" s="13">
        <v>4611.2</v>
      </c>
      <c r="E33" s="13">
        <f t="shared" si="5"/>
        <v>9467.2200000000012</v>
      </c>
      <c r="F33" s="13">
        <f t="shared" si="6"/>
        <v>10833.333333333334</v>
      </c>
      <c r="G33" s="13">
        <v>87437.11</v>
      </c>
      <c r="H33" s="13">
        <f t="shared" si="7"/>
        <v>108333.33333333334</v>
      </c>
      <c r="I33" s="13">
        <v>130000</v>
      </c>
      <c r="J33" s="34">
        <f t="shared" si="8"/>
        <v>0.67259315384615381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81.67</v>
      </c>
      <c r="E34" s="14">
        <f t="shared" si="5"/>
        <v>81.67</v>
      </c>
      <c r="F34" s="13">
        <f t="shared" si="6"/>
        <v>1666.6666666666667</v>
      </c>
      <c r="G34" s="13">
        <v>100.89</v>
      </c>
      <c r="H34" s="13">
        <f t="shared" si="7"/>
        <v>16666.666666666668</v>
      </c>
      <c r="I34" s="13">
        <v>20000</v>
      </c>
      <c r="J34" s="34">
        <f t="shared" si="8"/>
        <v>5.0445000000000004E-3</v>
      </c>
    </row>
    <row r="35" spans="1:19" ht="13.5" customHeight="1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5"/>
        <v>0</v>
      </c>
      <c r="F35" s="13">
        <f t="shared" si="6"/>
        <v>250</v>
      </c>
      <c r="G35" s="13">
        <f t="shared" si="9"/>
        <v>0</v>
      </c>
      <c r="H35" s="13">
        <f t="shared" si="7"/>
        <v>2500</v>
      </c>
      <c r="I35" s="13">
        <f>1500+1500</f>
        <v>3000</v>
      </c>
      <c r="J35" s="34">
        <f t="shared" si="8"/>
        <v>0</v>
      </c>
    </row>
    <row r="36" spans="1:19" x14ac:dyDescent="0.2">
      <c r="A36" s="11" t="s">
        <v>26</v>
      </c>
      <c r="B36" s="13">
        <v>0</v>
      </c>
      <c r="C36" s="13">
        <v>0</v>
      </c>
      <c r="D36" s="13">
        <v>65523.91</v>
      </c>
      <c r="E36" s="14">
        <f t="shared" si="5"/>
        <v>65523.91</v>
      </c>
      <c r="F36" s="13">
        <f t="shared" si="6"/>
        <v>29166.666666666668</v>
      </c>
      <c r="G36" s="13">
        <v>148042.91</v>
      </c>
      <c r="H36" s="13">
        <f t="shared" si="7"/>
        <v>291666.66666666669</v>
      </c>
      <c r="I36" s="13">
        <v>350000</v>
      </c>
      <c r="J36" s="34">
        <f t="shared" si="8"/>
        <v>0.42297974285714285</v>
      </c>
    </row>
    <row r="37" spans="1:19" x14ac:dyDescent="0.2">
      <c r="A37" s="11"/>
      <c r="B37" s="14"/>
      <c r="C37" s="13"/>
      <c r="D37" s="13"/>
      <c r="E37" s="14"/>
      <c r="F37" s="13"/>
      <c r="G37" s="13"/>
      <c r="H37" s="13"/>
      <c r="I37" s="13"/>
    </row>
    <row r="38" spans="1:19" x14ac:dyDescent="0.2">
      <c r="B38" s="42" t="s">
        <v>57</v>
      </c>
      <c r="C38" s="46" t="s">
        <v>58</v>
      </c>
      <c r="D38" s="41" t="s">
        <v>59</v>
      </c>
      <c r="E38" s="42" t="s">
        <v>60</v>
      </c>
      <c r="F38" s="41" t="s">
        <v>61</v>
      </c>
      <c r="G38" s="41" t="s">
        <v>62</v>
      </c>
      <c r="H38" s="41" t="s">
        <v>62</v>
      </c>
      <c r="I38" s="41" t="s">
        <v>63</v>
      </c>
      <c r="J38" s="16">
        <f>+J4</f>
        <v>0.83</v>
      </c>
      <c r="K38" s="1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1"/>
      <c r="B39" s="42"/>
      <c r="C39" s="46"/>
      <c r="D39" s="41"/>
      <c r="E39" s="42" t="s">
        <v>68</v>
      </c>
      <c r="F39" s="41" t="s">
        <v>65</v>
      </c>
      <c r="G39" s="41" t="s">
        <v>68</v>
      </c>
      <c r="H39" s="41" t="s">
        <v>67</v>
      </c>
      <c r="I39" s="41" t="s">
        <v>67</v>
      </c>
      <c r="J39" s="17" t="s">
        <v>65</v>
      </c>
      <c r="K39" s="1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1" t="s">
        <v>13</v>
      </c>
      <c r="B40" s="42"/>
      <c r="C40" s="46"/>
      <c r="D40" s="41"/>
      <c r="E40" s="42"/>
      <c r="F40" s="41"/>
      <c r="G40" s="41"/>
      <c r="H40" s="41"/>
      <c r="I40" s="41"/>
      <c r="J40" s="17" t="s">
        <v>75</v>
      </c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11" t="s">
        <v>27</v>
      </c>
      <c r="B41" s="6">
        <v>4799.3999999999996</v>
      </c>
      <c r="C41" s="6">
        <v>7052.77</v>
      </c>
      <c r="D41" s="6">
        <v>5797.74</v>
      </c>
      <c r="E41" s="14">
        <f t="shared" ref="E41:E67" si="10">SUM(B41:D41)</f>
        <v>17649.91</v>
      </c>
      <c r="F41" s="6">
        <f t="shared" ref="F41:F43" si="11">I41/12</f>
        <v>16500</v>
      </c>
      <c r="G41" s="6">
        <v>171909.67</v>
      </c>
      <c r="H41" s="13">
        <f t="shared" ref="H41:H67" si="12">F41*10</f>
        <v>165000</v>
      </c>
      <c r="I41" s="6">
        <v>198000</v>
      </c>
      <c r="J41" s="34">
        <f t="shared" ref="J41:J68" si="13">+G41/I41</f>
        <v>0.86823065656565668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 t="s">
        <v>28</v>
      </c>
      <c r="B42" s="13">
        <v>0</v>
      </c>
      <c r="C42" s="13">
        <v>0</v>
      </c>
      <c r="D42" s="13">
        <v>0</v>
      </c>
      <c r="E42" s="14">
        <f t="shared" si="10"/>
        <v>0</v>
      </c>
      <c r="F42" s="13">
        <f t="shared" si="11"/>
        <v>25520.833333333332</v>
      </c>
      <c r="G42" s="13">
        <v>293242</v>
      </c>
      <c r="H42" s="13">
        <f t="shared" si="12"/>
        <v>255208.33333333331</v>
      </c>
      <c r="I42" s="13">
        <v>306250</v>
      </c>
      <c r="J42" s="34">
        <f t="shared" si="13"/>
        <v>0.95752489795918372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29</v>
      </c>
      <c r="B43" s="13">
        <v>0</v>
      </c>
      <c r="C43" s="13">
        <v>297.97000000000003</v>
      </c>
      <c r="D43" s="13">
        <v>0</v>
      </c>
      <c r="E43" s="14">
        <f t="shared" si="10"/>
        <v>297.97000000000003</v>
      </c>
      <c r="F43" s="13">
        <f t="shared" si="11"/>
        <v>416.66666666666669</v>
      </c>
      <c r="G43" s="13">
        <v>1534.06</v>
      </c>
      <c r="H43" s="13">
        <f t="shared" si="12"/>
        <v>4166.666666666667</v>
      </c>
      <c r="I43" s="13">
        <f>2500+2500</f>
        <v>5000</v>
      </c>
      <c r="J43" s="34">
        <f t="shared" si="13"/>
        <v>0.30681199999999997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30</v>
      </c>
      <c r="B44" s="13">
        <v>0</v>
      </c>
      <c r="C44" s="13">
        <v>5</v>
      </c>
      <c r="D44" s="13">
        <v>0</v>
      </c>
      <c r="E44" s="14">
        <f t="shared" si="10"/>
        <v>5</v>
      </c>
      <c r="F44" s="13">
        <f>I44/12</f>
        <v>1333.3333333333333</v>
      </c>
      <c r="G44" s="13">
        <v>15371.84</v>
      </c>
      <c r="H44" s="13">
        <f t="shared" si="12"/>
        <v>13333.333333333332</v>
      </c>
      <c r="I44" s="13">
        <f>8000+8000</f>
        <v>16000</v>
      </c>
      <c r="J44" s="34">
        <f t="shared" si="13"/>
        <v>0.96074000000000004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32</v>
      </c>
      <c r="B45" s="13">
        <v>0</v>
      </c>
      <c r="C45" s="13">
        <v>0</v>
      </c>
      <c r="D45" s="13">
        <v>0</v>
      </c>
      <c r="E45" s="14">
        <f t="shared" si="10"/>
        <v>0</v>
      </c>
      <c r="F45" s="13">
        <f t="shared" ref="F45:F67" si="14">I45/12</f>
        <v>6500</v>
      </c>
      <c r="G45" s="13">
        <v>0</v>
      </c>
      <c r="H45" s="13">
        <f t="shared" si="12"/>
        <v>65000</v>
      </c>
      <c r="I45" s="13">
        <v>78000</v>
      </c>
      <c r="J45" s="34">
        <f t="shared" si="13"/>
        <v>0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33</v>
      </c>
      <c r="B46" s="13">
        <v>0</v>
      </c>
      <c r="C46" s="13">
        <v>0</v>
      </c>
      <c r="D46" s="13">
        <v>0</v>
      </c>
      <c r="E46" s="14">
        <f t="shared" si="10"/>
        <v>0</v>
      </c>
      <c r="F46" s="13">
        <f t="shared" si="14"/>
        <v>750</v>
      </c>
      <c r="G46" s="13">
        <v>2153.33</v>
      </c>
      <c r="H46" s="13">
        <f t="shared" si="12"/>
        <v>7500</v>
      </c>
      <c r="I46" s="13">
        <v>9000</v>
      </c>
      <c r="J46" s="34">
        <f t="shared" si="13"/>
        <v>0.23925888888888888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34</v>
      </c>
      <c r="B47" s="13">
        <v>0</v>
      </c>
      <c r="C47" s="13">
        <v>378.64</v>
      </c>
      <c r="D47" s="13">
        <v>550.80999999999995</v>
      </c>
      <c r="E47" s="13">
        <f t="shared" si="10"/>
        <v>929.44999999999993</v>
      </c>
      <c r="F47" s="13">
        <f t="shared" si="14"/>
        <v>1250</v>
      </c>
      <c r="G47" s="13">
        <v>11108.27</v>
      </c>
      <c r="H47" s="13">
        <f t="shared" si="12"/>
        <v>12500</v>
      </c>
      <c r="I47" s="13">
        <v>15000</v>
      </c>
      <c r="J47" s="34">
        <f t="shared" si="13"/>
        <v>0.74055133333333334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35</v>
      </c>
      <c r="B48" s="13">
        <v>0</v>
      </c>
      <c r="C48" s="13">
        <v>1404.09</v>
      </c>
      <c r="D48" s="13">
        <v>1473.16</v>
      </c>
      <c r="E48" s="14">
        <f t="shared" si="10"/>
        <v>2877.25</v>
      </c>
      <c r="F48" s="13">
        <f t="shared" si="14"/>
        <v>13750</v>
      </c>
      <c r="G48" s="13">
        <v>66306.87</v>
      </c>
      <c r="H48" s="13">
        <f t="shared" si="12"/>
        <v>137500</v>
      </c>
      <c r="I48" s="13">
        <v>165000</v>
      </c>
      <c r="J48" s="34">
        <f t="shared" si="13"/>
        <v>0.40185981818181815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36</v>
      </c>
      <c r="B49" s="13">
        <v>0</v>
      </c>
      <c r="C49" s="13">
        <v>80929.740000000005</v>
      </c>
      <c r="D49" s="13">
        <v>0</v>
      </c>
      <c r="E49" s="14">
        <f t="shared" si="10"/>
        <v>80929.740000000005</v>
      </c>
      <c r="F49" s="13">
        <f t="shared" si="14"/>
        <v>91666.666666666672</v>
      </c>
      <c r="G49" s="13">
        <v>924929.77</v>
      </c>
      <c r="H49" s="13">
        <f t="shared" si="12"/>
        <v>916666.66666666674</v>
      </c>
      <c r="I49" s="13">
        <v>1100000</v>
      </c>
      <c r="J49" s="34">
        <f t="shared" si="13"/>
        <v>0.84084524545454542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37</v>
      </c>
      <c r="B50" s="13">
        <v>0</v>
      </c>
      <c r="C50" s="13">
        <v>390.19</v>
      </c>
      <c r="D50" s="13">
        <v>0</v>
      </c>
      <c r="E50" s="14">
        <f t="shared" si="10"/>
        <v>390.19</v>
      </c>
      <c r="F50" s="13">
        <f t="shared" si="14"/>
        <v>875</v>
      </c>
      <c r="G50" s="13">
        <v>5495.7</v>
      </c>
      <c r="H50" s="13">
        <f t="shared" si="12"/>
        <v>8750</v>
      </c>
      <c r="I50" s="13">
        <v>10500</v>
      </c>
      <c r="J50" s="34">
        <f t="shared" si="13"/>
        <v>0.52339999999999998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38</v>
      </c>
      <c r="B51" s="13">
        <v>0</v>
      </c>
      <c r="C51" s="13">
        <v>8991.5</v>
      </c>
      <c r="D51" s="13">
        <v>0</v>
      </c>
      <c r="E51" s="14">
        <f t="shared" si="10"/>
        <v>8991.5</v>
      </c>
      <c r="F51" s="13">
        <f t="shared" si="14"/>
        <v>3333.3333333333335</v>
      </c>
      <c r="G51" s="13">
        <v>69543.25</v>
      </c>
      <c r="H51" s="13">
        <f t="shared" si="12"/>
        <v>33333.333333333336</v>
      </c>
      <c r="I51" s="13">
        <v>40000</v>
      </c>
      <c r="J51" s="34">
        <f t="shared" si="13"/>
        <v>1.73858125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39</v>
      </c>
      <c r="B52" s="13">
        <v>0</v>
      </c>
      <c r="C52" s="13">
        <v>2410.11</v>
      </c>
      <c r="D52" s="13">
        <v>0</v>
      </c>
      <c r="E52" s="14">
        <f t="shared" si="10"/>
        <v>2410.11</v>
      </c>
      <c r="F52" s="13">
        <f t="shared" si="14"/>
        <v>625</v>
      </c>
      <c r="G52" s="13">
        <v>11686.5</v>
      </c>
      <c r="H52" s="13">
        <f t="shared" si="12"/>
        <v>6250</v>
      </c>
      <c r="I52" s="13">
        <v>7500</v>
      </c>
      <c r="J52" s="34">
        <f t="shared" si="13"/>
        <v>1.5582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40</v>
      </c>
      <c r="B53" s="13">
        <v>0</v>
      </c>
      <c r="C53" s="13">
        <v>25.25</v>
      </c>
      <c r="D53" s="13">
        <v>11.98</v>
      </c>
      <c r="E53" s="14">
        <f t="shared" si="10"/>
        <v>37.230000000000004</v>
      </c>
      <c r="F53" s="13">
        <f t="shared" si="14"/>
        <v>875</v>
      </c>
      <c r="G53" s="13">
        <v>7309.13</v>
      </c>
      <c r="H53" s="13">
        <f t="shared" si="12"/>
        <v>8750</v>
      </c>
      <c r="I53" s="13">
        <v>10500</v>
      </c>
      <c r="J53" s="34">
        <f t="shared" si="13"/>
        <v>0.69610761904761909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41</v>
      </c>
      <c r="B54" s="13">
        <v>695.52</v>
      </c>
      <c r="C54" s="13">
        <v>2301.62</v>
      </c>
      <c r="D54" s="13">
        <v>17.5</v>
      </c>
      <c r="E54" s="14">
        <f t="shared" si="10"/>
        <v>3014.64</v>
      </c>
      <c r="F54" s="13">
        <f t="shared" si="14"/>
        <v>2500</v>
      </c>
      <c r="G54" s="13">
        <v>38262.1</v>
      </c>
      <c r="H54" s="13">
        <f t="shared" si="12"/>
        <v>25000</v>
      </c>
      <c r="I54" s="13">
        <v>30000</v>
      </c>
      <c r="J54" s="34">
        <f t="shared" si="13"/>
        <v>1.2754033333333332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42</v>
      </c>
      <c r="B55" s="13">
        <v>0</v>
      </c>
      <c r="C55" s="13">
        <v>10453.049999999999</v>
      </c>
      <c r="D55" s="13">
        <v>0</v>
      </c>
      <c r="E55" s="14">
        <f t="shared" si="10"/>
        <v>10453.049999999999</v>
      </c>
      <c r="F55" s="13">
        <f t="shared" si="14"/>
        <v>13333.333333333334</v>
      </c>
      <c r="G55" s="13">
        <v>102121.23</v>
      </c>
      <c r="H55" s="13">
        <f t="shared" si="12"/>
        <v>133333.33333333334</v>
      </c>
      <c r="I55" s="13">
        <v>160000</v>
      </c>
      <c r="J55" s="34">
        <f t="shared" si="13"/>
        <v>0.6382576875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43</v>
      </c>
      <c r="B56" s="13">
        <v>0</v>
      </c>
      <c r="C56" s="13">
        <v>7152.88</v>
      </c>
      <c r="D56" s="13">
        <v>0</v>
      </c>
      <c r="E56" s="14">
        <f t="shared" si="10"/>
        <v>7152.88</v>
      </c>
      <c r="F56" s="13">
        <f t="shared" si="14"/>
        <v>3333.3333333333335</v>
      </c>
      <c r="G56" s="13">
        <v>47751.82</v>
      </c>
      <c r="H56" s="13">
        <f t="shared" si="12"/>
        <v>33333.333333333336</v>
      </c>
      <c r="I56" s="13">
        <v>40000</v>
      </c>
      <c r="J56" s="34">
        <f t="shared" si="13"/>
        <v>1.1937955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44</v>
      </c>
      <c r="B57" s="13">
        <v>0</v>
      </c>
      <c r="C57" s="13">
        <v>0</v>
      </c>
      <c r="D57" s="13">
        <v>0</v>
      </c>
      <c r="E57" s="14">
        <f t="shared" si="10"/>
        <v>0</v>
      </c>
      <c r="F57" s="13">
        <f t="shared" si="14"/>
        <v>1583.3333333333333</v>
      </c>
      <c r="G57" s="13">
        <v>22802</v>
      </c>
      <c r="H57" s="13">
        <f t="shared" si="12"/>
        <v>15833.333333333332</v>
      </c>
      <c r="I57" s="13">
        <v>19000</v>
      </c>
      <c r="J57" s="34">
        <f t="shared" si="13"/>
        <v>1.2001052631578948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45</v>
      </c>
      <c r="B58" s="13">
        <v>0</v>
      </c>
      <c r="C58" s="13">
        <v>3847.47</v>
      </c>
      <c r="D58" s="13">
        <v>0</v>
      </c>
      <c r="E58" s="14">
        <f t="shared" si="10"/>
        <v>3847.47</v>
      </c>
      <c r="F58" s="13">
        <f t="shared" si="14"/>
        <v>1416.6666666666667</v>
      </c>
      <c r="G58" s="13">
        <v>19679.63</v>
      </c>
      <c r="H58" s="13">
        <f t="shared" si="12"/>
        <v>14166.666666666668</v>
      </c>
      <c r="I58" s="13">
        <v>17000</v>
      </c>
      <c r="J58" s="34">
        <f t="shared" si="13"/>
        <v>1.157625294117647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46</v>
      </c>
      <c r="B59" s="13">
        <v>0</v>
      </c>
      <c r="C59" s="13">
        <v>0</v>
      </c>
      <c r="D59" s="13">
        <v>0</v>
      </c>
      <c r="E59" s="14">
        <f t="shared" si="10"/>
        <v>0</v>
      </c>
      <c r="F59" s="13">
        <f t="shared" si="14"/>
        <v>1666.6666666666667</v>
      </c>
      <c r="G59" s="13">
        <v>11159.11</v>
      </c>
      <c r="H59" s="13">
        <f t="shared" si="12"/>
        <v>16666.666666666668</v>
      </c>
      <c r="I59" s="13">
        <v>20000</v>
      </c>
      <c r="J59" s="34">
        <f t="shared" si="13"/>
        <v>0.55795550000000005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47</v>
      </c>
      <c r="B60" s="13">
        <v>11251.31</v>
      </c>
      <c r="C60" s="13">
        <v>0</v>
      </c>
      <c r="D60" s="13">
        <v>0</v>
      </c>
      <c r="E60" s="14">
        <f t="shared" si="10"/>
        <v>11251.31</v>
      </c>
      <c r="F60" s="13">
        <f t="shared" si="14"/>
        <v>12541.666666666666</v>
      </c>
      <c r="G60" s="13">
        <v>120526.87</v>
      </c>
      <c r="H60" s="13">
        <f t="shared" si="12"/>
        <v>125416.66666666666</v>
      </c>
      <c r="I60" s="13">
        <v>150500</v>
      </c>
      <c r="J60" s="34">
        <f t="shared" si="13"/>
        <v>0.80084299003322257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48</v>
      </c>
      <c r="B61" s="13">
        <v>0</v>
      </c>
      <c r="C61" s="13">
        <v>0</v>
      </c>
      <c r="D61" s="13">
        <v>0</v>
      </c>
      <c r="E61" s="14">
        <f t="shared" si="10"/>
        <v>0</v>
      </c>
      <c r="F61" s="13">
        <f t="shared" si="14"/>
        <v>83.333333333333329</v>
      </c>
      <c r="G61" s="13">
        <v>240</v>
      </c>
      <c r="H61" s="13">
        <f t="shared" si="12"/>
        <v>833.33333333333326</v>
      </c>
      <c r="I61" s="13">
        <v>1000</v>
      </c>
      <c r="J61" s="34">
        <f t="shared" si="13"/>
        <v>0.24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49</v>
      </c>
      <c r="B62" s="13">
        <v>0</v>
      </c>
      <c r="C62" s="13">
        <v>0</v>
      </c>
      <c r="D62" s="13">
        <v>0</v>
      </c>
      <c r="E62" s="14">
        <f t="shared" si="10"/>
        <v>0</v>
      </c>
      <c r="F62" s="13">
        <f t="shared" si="14"/>
        <v>208.33333333333334</v>
      </c>
      <c r="G62" s="13">
        <v>1674.61</v>
      </c>
      <c r="H62" s="13">
        <f t="shared" si="12"/>
        <v>2083.3333333333335</v>
      </c>
      <c r="I62" s="13">
        <v>2500</v>
      </c>
      <c r="J62" s="34">
        <f t="shared" si="13"/>
        <v>0.66984399999999999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50</v>
      </c>
      <c r="B63" s="13">
        <v>0</v>
      </c>
      <c r="C63" s="13">
        <v>0</v>
      </c>
      <c r="D63" s="13">
        <v>0</v>
      </c>
      <c r="E63" s="14">
        <f t="shared" si="10"/>
        <v>0</v>
      </c>
      <c r="F63" s="13">
        <f t="shared" si="14"/>
        <v>2500</v>
      </c>
      <c r="G63" s="13">
        <v>17190.5</v>
      </c>
      <c r="H63" s="13">
        <f t="shared" si="12"/>
        <v>25000</v>
      </c>
      <c r="I63" s="13">
        <v>30000</v>
      </c>
      <c r="J63" s="34">
        <f t="shared" si="13"/>
        <v>0.57301666666666662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52</v>
      </c>
      <c r="B64" s="13">
        <v>0</v>
      </c>
      <c r="C64" s="13">
        <v>3655.83</v>
      </c>
      <c r="D64" s="13">
        <v>0</v>
      </c>
      <c r="E64" s="14">
        <f t="shared" si="10"/>
        <v>3655.83</v>
      </c>
      <c r="F64" s="13">
        <f t="shared" si="14"/>
        <v>4000</v>
      </c>
      <c r="G64" s="13">
        <v>44178.95</v>
      </c>
      <c r="H64" s="13">
        <f t="shared" si="12"/>
        <v>40000</v>
      </c>
      <c r="I64" s="13">
        <v>48000</v>
      </c>
      <c r="J64" s="34">
        <f t="shared" si="13"/>
        <v>0.9203947916666666</v>
      </c>
      <c r="K64" s="1"/>
      <c r="L64" s="2"/>
      <c r="M64" s="2"/>
      <c r="N64" s="2"/>
      <c r="O64" s="3"/>
      <c r="Q64" s="3"/>
    </row>
    <row r="65" spans="1:10" x14ac:dyDescent="0.2">
      <c r="A65" s="11" t="s">
        <v>53</v>
      </c>
      <c r="B65" s="13">
        <v>0</v>
      </c>
      <c r="C65" s="13">
        <v>574.95000000000005</v>
      </c>
      <c r="D65" s="13">
        <v>0</v>
      </c>
      <c r="E65" s="14">
        <f t="shared" si="10"/>
        <v>574.95000000000005</v>
      </c>
      <c r="F65" s="13">
        <f t="shared" si="14"/>
        <v>833.33333333333337</v>
      </c>
      <c r="G65" s="13">
        <v>9289.09</v>
      </c>
      <c r="H65" s="13">
        <f t="shared" si="12"/>
        <v>8333.3333333333339</v>
      </c>
      <c r="I65" s="13">
        <v>10000</v>
      </c>
      <c r="J65" s="34">
        <f t="shared" si="13"/>
        <v>0.92890899999999998</v>
      </c>
    </row>
    <row r="66" spans="1:10" x14ac:dyDescent="0.2">
      <c r="A66" s="11" t="s">
        <v>54</v>
      </c>
      <c r="B66" s="13">
        <v>0</v>
      </c>
      <c r="C66" s="13">
        <v>0</v>
      </c>
      <c r="D66" s="13">
        <v>0</v>
      </c>
      <c r="E66" s="14">
        <f t="shared" si="10"/>
        <v>0</v>
      </c>
      <c r="F66" s="13">
        <f t="shared" si="14"/>
        <v>4.166666666666667</v>
      </c>
      <c r="G66" s="13">
        <f t="shared" ref="G66" si="15">E66</f>
        <v>0</v>
      </c>
      <c r="H66" s="13">
        <f t="shared" si="12"/>
        <v>41.666666666666671</v>
      </c>
      <c r="I66" s="13">
        <v>50</v>
      </c>
      <c r="J66" s="34">
        <f t="shared" si="13"/>
        <v>0</v>
      </c>
    </row>
    <row r="67" spans="1:10" x14ac:dyDescent="0.2">
      <c r="A67" s="11" t="s">
        <v>72</v>
      </c>
      <c r="B67" s="13">
        <v>0</v>
      </c>
      <c r="C67" s="13">
        <v>0</v>
      </c>
      <c r="D67" s="13">
        <v>0</v>
      </c>
      <c r="E67" s="14">
        <f t="shared" si="10"/>
        <v>0</v>
      </c>
      <c r="F67" s="13">
        <f t="shared" si="14"/>
        <v>1666.6666666666667</v>
      </c>
      <c r="G67" s="13">
        <v>5975</v>
      </c>
      <c r="H67" s="13">
        <f t="shared" si="12"/>
        <v>16666.666666666668</v>
      </c>
      <c r="I67" s="13">
        <v>20000</v>
      </c>
      <c r="J67" s="33">
        <f t="shared" si="13"/>
        <v>0.29875000000000002</v>
      </c>
    </row>
    <row r="68" spans="1:10" x14ac:dyDescent="0.2">
      <c r="A68" s="11" t="s">
        <v>55</v>
      </c>
      <c r="B68" s="43">
        <f t="shared" ref="B68:H68" si="16">SUM(B24:B67)</f>
        <v>42644.58</v>
      </c>
      <c r="C68" s="43">
        <f t="shared" si="16"/>
        <v>175164.76999999996</v>
      </c>
      <c r="D68" s="44">
        <f t="shared" si="16"/>
        <v>93095.93</v>
      </c>
      <c r="E68" s="43">
        <f t="shared" si="16"/>
        <v>310905.27999999997</v>
      </c>
      <c r="F68" s="43">
        <f t="shared" si="16"/>
        <v>363791.66666666663</v>
      </c>
      <c r="G68" s="44">
        <f t="shared" si="16"/>
        <v>3445650.92</v>
      </c>
      <c r="H68" s="43">
        <f t="shared" si="16"/>
        <v>3637916.666666667</v>
      </c>
      <c r="I68" s="44">
        <f>SUM(I41:I67)+SUM(I24:I36)</f>
        <v>4365500</v>
      </c>
      <c r="J68" s="37">
        <f t="shared" si="13"/>
        <v>0.78929124269843087</v>
      </c>
    </row>
    <row r="69" spans="1:10" x14ac:dyDescent="0.2">
      <c r="B69" s="14"/>
      <c r="C69" s="14" t="s">
        <v>69</v>
      </c>
      <c r="D69" s="13"/>
      <c r="E69" s="14"/>
      <c r="F69" s="14"/>
      <c r="G69" s="13"/>
      <c r="H69" s="14"/>
      <c r="I69" s="13"/>
    </row>
    <row r="70" spans="1:10" ht="13.5" thickBot="1" x14ac:dyDescent="0.25">
      <c r="A70" s="11" t="s">
        <v>56</v>
      </c>
      <c r="B70" s="38">
        <f t="shared" ref="B70:G70" si="17">B19-B68</f>
        <v>-42644.58</v>
      </c>
      <c r="C70" s="38">
        <f t="shared" si="17"/>
        <v>34139</v>
      </c>
      <c r="D70" s="39">
        <f t="shared" si="17"/>
        <v>66207.959999999992</v>
      </c>
      <c r="E70" s="38">
        <f t="shared" si="17"/>
        <v>57702.380000000063</v>
      </c>
      <c r="F70" s="38">
        <f t="shared" si="17"/>
        <v>0</v>
      </c>
      <c r="G70" s="39">
        <f t="shared" si="17"/>
        <v>332792.81000000006</v>
      </c>
      <c r="H70" s="10"/>
      <c r="I70" s="12"/>
    </row>
    <row r="71" spans="1:10" ht="13.5" thickTop="1" x14ac:dyDescent="0.2"/>
  </sheetData>
  <pageMargins left="0.7" right="0.7" top="0.75" bottom="0.75" header="0.3" footer="0.3"/>
  <pageSetup orientation="landscape" r:id="rId1"/>
  <rowBreaks count="1" manualBreakCount="1">
    <brk id="35" max="16383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7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98</v>
      </c>
    </row>
    <row r="4" spans="1:10" x14ac:dyDescent="0.2">
      <c r="F4" s="7"/>
      <c r="H4" s="7"/>
      <c r="J4" s="16">
        <v>0.92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1" t="s">
        <v>61</v>
      </c>
      <c r="G5" s="41" t="s">
        <v>62</v>
      </c>
      <c r="H5" s="41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1" t="s">
        <v>65</v>
      </c>
      <c r="G6" s="41" t="s">
        <v>66</v>
      </c>
      <c r="H6" s="41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0</v>
      </c>
      <c r="D7" s="13">
        <v>128641.4</v>
      </c>
      <c r="E7" s="14">
        <f>SUM(B7:D7)</f>
        <v>128641.4</v>
      </c>
      <c r="F7" s="13">
        <f>I7/12</f>
        <v>148333.33333333334</v>
      </c>
      <c r="G7" s="13">
        <v>1538436.92</v>
      </c>
      <c r="H7" s="13">
        <f>F7*11</f>
        <v>1631666.6666666667</v>
      </c>
      <c r="I7" s="13">
        <v>1780000</v>
      </c>
      <c r="J7" s="32">
        <f>+G7/I7</f>
        <v>0.86429040449438199</v>
      </c>
    </row>
    <row r="8" spans="1:10" x14ac:dyDescent="0.2">
      <c r="A8" s="11" t="s">
        <v>2</v>
      </c>
      <c r="B8" s="13">
        <v>0</v>
      </c>
      <c r="C8" s="13">
        <v>935.14</v>
      </c>
      <c r="D8" s="13">
        <v>6756.49</v>
      </c>
      <c r="E8" s="14">
        <f t="shared" ref="E8:E18" si="0">SUM(B8:D8)</f>
        <v>7691.63</v>
      </c>
      <c r="F8" s="13">
        <f t="shared" ref="F8:F18" si="1">I8/12</f>
        <v>6083.333333333333</v>
      </c>
      <c r="G8" s="13">
        <v>78212.429999999993</v>
      </c>
      <c r="H8" s="13">
        <f t="shared" ref="H8:H18" si="2">F8*11</f>
        <v>66916.666666666657</v>
      </c>
      <c r="I8" s="13">
        <v>73000</v>
      </c>
      <c r="J8" s="32">
        <f t="shared" ref="J8:J19" si="3">+G8/I8</f>
        <v>1.0714031506849313</v>
      </c>
    </row>
    <row r="9" spans="1:10" x14ac:dyDescent="0.2">
      <c r="A9" s="11" t="s">
        <v>71</v>
      </c>
      <c r="B9" s="13">
        <v>0</v>
      </c>
      <c r="C9" s="13">
        <v>0</v>
      </c>
      <c r="D9" s="13">
        <v>633.42999999999995</v>
      </c>
      <c r="E9" s="14">
        <f t="shared" si="0"/>
        <v>633.42999999999995</v>
      </c>
      <c r="F9" s="13">
        <f t="shared" si="1"/>
        <v>1250</v>
      </c>
      <c r="G9" s="13">
        <v>10296.06</v>
      </c>
      <c r="H9" s="13">
        <f t="shared" si="2"/>
        <v>13750</v>
      </c>
      <c r="I9" s="13">
        <v>15000</v>
      </c>
      <c r="J9" s="32">
        <f t="shared" si="3"/>
        <v>0.68640400000000001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5703.87</v>
      </c>
      <c r="E10" s="14">
        <f t="shared" si="0"/>
        <v>5703.87</v>
      </c>
      <c r="F10" s="13">
        <f t="shared" si="1"/>
        <v>3333.3333333333335</v>
      </c>
      <c r="G10" s="13">
        <v>48525.06</v>
      </c>
      <c r="H10" s="13">
        <f t="shared" si="2"/>
        <v>36666.666666666672</v>
      </c>
      <c r="I10" s="13">
        <v>40000</v>
      </c>
      <c r="J10" s="32">
        <f t="shared" si="3"/>
        <v>1.2131265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275.77999999999997</v>
      </c>
      <c r="E11" s="14">
        <f t="shared" si="0"/>
        <v>275.77999999999997</v>
      </c>
      <c r="F11" s="13">
        <f t="shared" si="1"/>
        <v>8333.3333333333339</v>
      </c>
      <c r="G11" s="13">
        <v>89096.02</v>
      </c>
      <c r="H11" s="13">
        <f t="shared" si="2"/>
        <v>91666.666666666672</v>
      </c>
      <c r="I11" s="13">
        <v>100000</v>
      </c>
      <c r="J11" s="32">
        <f t="shared" si="3"/>
        <v>0.89096020000000009</v>
      </c>
    </row>
    <row r="12" spans="1:10" x14ac:dyDescent="0.2">
      <c r="A12" s="11" t="s">
        <v>5</v>
      </c>
      <c r="B12" s="13">
        <v>0</v>
      </c>
      <c r="C12" s="13">
        <v>102145.98</v>
      </c>
      <c r="D12" s="13">
        <v>0</v>
      </c>
      <c r="E12" s="14">
        <f t="shared" si="0"/>
        <v>102145.98</v>
      </c>
      <c r="F12" s="13">
        <f t="shared" si="1"/>
        <v>121666.66666666667</v>
      </c>
      <c r="G12" s="13">
        <v>1344756.38</v>
      </c>
      <c r="H12" s="13">
        <f t="shared" si="2"/>
        <v>1338333.3333333335</v>
      </c>
      <c r="I12" s="13">
        <v>1460000</v>
      </c>
      <c r="J12" s="32">
        <f t="shared" si="3"/>
        <v>0.92106601369863006</v>
      </c>
    </row>
    <row r="13" spans="1:10" x14ac:dyDescent="0.2">
      <c r="A13" s="11" t="s">
        <v>6</v>
      </c>
      <c r="B13" s="13">
        <v>0</v>
      </c>
      <c r="C13" s="13">
        <v>1184.47</v>
      </c>
      <c r="D13" s="13">
        <v>0</v>
      </c>
      <c r="E13" s="14">
        <f t="shared" si="0"/>
        <v>1184.47</v>
      </c>
      <c r="F13" s="13">
        <f t="shared" si="1"/>
        <v>916.66666666666663</v>
      </c>
      <c r="G13" s="13">
        <v>8506.9</v>
      </c>
      <c r="H13" s="13">
        <f t="shared" si="2"/>
        <v>10083.333333333332</v>
      </c>
      <c r="I13" s="13">
        <v>11000</v>
      </c>
      <c r="J13" s="32">
        <f t="shared" si="3"/>
        <v>0.77335454545454541</v>
      </c>
    </row>
    <row r="14" spans="1:10" x14ac:dyDescent="0.2">
      <c r="A14" s="11" t="s">
        <v>7</v>
      </c>
      <c r="B14" s="13">
        <v>0</v>
      </c>
      <c r="C14" s="13">
        <v>32416.27</v>
      </c>
      <c r="D14" s="13">
        <v>0</v>
      </c>
      <c r="E14" s="14">
        <f t="shared" si="0"/>
        <v>32416.27</v>
      </c>
      <c r="F14" s="13">
        <f t="shared" si="1"/>
        <v>15833.333333333334</v>
      </c>
      <c r="G14" s="13">
        <v>281670.44</v>
      </c>
      <c r="H14" s="13">
        <f t="shared" si="2"/>
        <v>174166.66666666669</v>
      </c>
      <c r="I14" s="13">
        <v>190000</v>
      </c>
      <c r="J14" s="32">
        <f t="shared" si="3"/>
        <v>1.4824759999999999</v>
      </c>
    </row>
    <row r="15" spans="1:10" x14ac:dyDescent="0.2">
      <c r="A15" s="11" t="s">
        <v>8</v>
      </c>
      <c r="B15" s="13">
        <v>0</v>
      </c>
      <c r="C15" s="13">
        <v>517.44000000000005</v>
      </c>
      <c r="D15" s="13">
        <v>0</v>
      </c>
      <c r="E15" s="14">
        <f t="shared" si="0"/>
        <v>517.44000000000005</v>
      </c>
      <c r="F15" s="13">
        <f t="shared" si="1"/>
        <v>625</v>
      </c>
      <c r="G15" s="13">
        <v>3776.33</v>
      </c>
      <c r="H15" s="13">
        <f t="shared" si="2"/>
        <v>6875</v>
      </c>
      <c r="I15" s="13">
        <v>7500</v>
      </c>
      <c r="J15" s="32">
        <f t="shared" si="3"/>
        <v>0.50351066666666666</v>
      </c>
    </row>
    <row r="16" spans="1:10" x14ac:dyDescent="0.2">
      <c r="A16" s="11" t="s">
        <v>9</v>
      </c>
      <c r="B16" s="13">
        <v>0</v>
      </c>
      <c r="C16" s="13">
        <v>5618.82</v>
      </c>
      <c r="D16" s="13">
        <v>0</v>
      </c>
      <c r="E16" s="14">
        <f t="shared" si="0"/>
        <v>5618.82</v>
      </c>
      <c r="F16" s="13">
        <f t="shared" si="1"/>
        <v>4166.666666666667</v>
      </c>
      <c r="G16" s="13">
        <v>51479.43</v>
      </c>
      <c r="H16" s="13">
        <f t="shared" si="2"/>
        <v>45833.333333333336</v>
      </c>
      <c r="I16" s="13">
        <v>50000</v>
      </c>
      <c r="J16" s="32">
        <f t="shared" si="3"/>
        <v>1.0295886000000001</v>
      </c>
    </row>
    <row r="17" spans="1:11" x14ac:dyDescent="0.2">
      <c r="A17" s="11" t="s">
        <v>10</v>
      </c>
      <c r="B17" s="13">
        <v>0</v>
      </c>
      <c r="C17" s="13">
        <v>54328.65</v>
      </c>
      <c r="D17" s="13">
        <v>0</v>
      </c>
      <c r="E17" s="14">
        <f t="shared" si="0"/>
        <v>54328.65</v>
      </c>
      <c r="F17" s="13">
        <f t="shared" si="1"/>
        <v>48666.666666666664</v>
      </c>
      <c r="G17" s="13">
        <v>559638.27</v>
      </c>
      <c r="H17" s="13">
        <f t="shared" si="2"/>
        <v>535333.33333333326</v>
      </c>
      <c r="I17" s="13">
        <v>584000</v>
      </c>
      <c r="J17" s="32">
        <f t="shared" si="3"/>
        <v>0.95828470890410966</v>
      </c>
    </row>
    <row r="18" spans="1:11" x14ac:dyDescent="0.2">
      <c r="A18" s="11" t="s">
        <v>11</v>
      </c>
      <c r="B18" s="13">
        <v>0</v>
      </c>
      <c r="C18" s="13">
        <v>16012.97</v>
      </c>
      <c r="D18" s="13">
        <v>0</v>
      </c>
      <c r="E18" s="14">
        <f t="shared" si="0"/>
        <v>16012.97</v>
      </c>
      <c r="F18" s="13">
        <f t="shared" si="1"/>
        <v>4583.333333333333</v>
      </c>
      <c r="G18" s="13">
        <v>118940.18</v>
      </c>
      <c r="H18" s="13">
        <f t="shared" si="2"/>
        <v>50416.666666666664</v>
      </c>
      <c r="I18" s="13">
        <v>55000</v>
      </c>
      <c r="J18" s="33">
        <f t="shared" si="3"/>
        <v>2.1625487272727271</v>
      </c>
    </row>
    <row r="19" spans="1:11" x14ac:dyDescent="0.2">
      <c r="A19" s="11" t="s">
        <v>12</v>
      </c>
      <c r="B19" s="43">
        <f t="shared" ref="B19:I19" si="4">SUM(B7:B18)</f>
        <v>0</v>
      </c>
      <c r="C19" s="43">
        <f t="shared" si="4"/>
        <v>213159.74</v>
      </c>
      <c r="D19" s="44">
        <f t="shared" si="4"/>
        <v>142010.96999999997</v>
      </c>
      <c r="E19" s="43">
        <f t="shared" si="4"/>
        <v>355170.70999999996</v>
      </c>
      <c r="F19" s="43">
        <f t="shared" si="4"/>
        <v>363791.66666666674</v>
      </c>
      <c r="G19" s="44">
        <f t="shared" si="4"/>
        <v>4133334.4200000004</v>
      </c>
      <c r="H19" s="43">
        <f>SUM(H7:H18)</f>
        <v>4001708.3333333335</v>
      </c>
      <c r="I19" s="44">
        <f t="shared" si="4"/>
        <v>4365500</v>
      </c>
      <c r="J19" s="37">
        <f t="shared" si="3"/>
        <v>0.94681810101935637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1" t="s">
        <v>61</v>
      </c>
      <c r="G21" s="41" t="s">
        <v>62</v>
      </c>
      <c r="H21" s="41" t="s">
        <v>62</v>
      </c>
      <c r="I21" s="41" t="s">
        <v>63</v>
      </c>
      <c r="J21" s="16">
        <f>+J4</f>
        <v>0.92</v>
      </c>
    </row>
    <row r="22" spans="1:11" x14ac:dyDescent="0.2">
      <c r="A22" s="11"/>
      <c r="B22" s="42"/>
      <c r="C22" s="45"/>
      <c r="D22" s="41"/>
      <c r="E22" s="42" t="s">
        <v>68</v>
      </c>
      <c r="F22" s="41" t="s">
        <v>65</v>
      </c>
      <c r="G22" s="41" t="s">
        <v>68</v>
      </c>
      <c r="H22" s="41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1"/>
      <c r="G23" s="41"/>
      <c r="H23" s="41"/>
      <c r="I23" s="41"/>
      <c r="J23" s="17" t="s">
        <v>75</v>
      </c>
    </row>
    <row r="24" spans="1:11" x14ac:dyDescent="0.2">
      <c r="A24" s="11" t="s">
        <v>14</v>
      </c>
      <c r="B24" s="13">
        <v>28407.91</v>
      </c>
      <c r="C24" s="13">
        <v>44222.87</v>
      </c>
      <c r="D24" s="13">
        <v>15254.12</v>
      </c>
      <c r="E24" s="14">
        <f t="shared" ref="E24:E36" si="5">SUM(B24:D24)</f>
        <v>87884.9</v>
      </c>
      <c r="F24" s="13">
        <f t="shared" ref="F24:F36" si="6">I24/12</f>
        <v>85833.333333333328</v>
      </c>
      <c r="G24" s="13">
        <v>1013470.71</v>
      </c>
      <c r="H24" s="13">
        <f t="shared" ref="H24:H36" si="7">F24*11</f>
        <v>944166.66666666663</v>
      </c>
      <c r="I24" s="13">
        <v>1030000</v>
      </c>
      <c r="J24" s="34">
        <f t="shared" ref="J24:J36" si="8">+G24/I24</f>
        <v>0.98395214563106792</v>
      </c>
    </row>
    <row r="25" spans="1:11" x14ac:dyDescent="0.2">
      <c r="A25" s="11" t="s">
        <v>15</v>
      </c>
      <c r="B25" s="13">
        <v>2269.38</v>
      </c>
      <c r="C25" s="13">
        <v>3872.92</v>
      </c>
      <c r="D25" s="13">
        <v>1232.74</v>
      </c>
      <c r="E25" s="14">
        <f t="shared" si="5"/>
        <v>7375.04</v>
      </c>
      <c r="F25" s="13">
        <f t="shared" si="6"/>
        <v>6666.666666666667</v>
      </c>
      <c r="G25" s="13">
        <v>84611.87</v>
      </c>
      <c r="H25" s="13">
        <f t="shared" si="7"/>
        <v>73333.333333333343</v>
      </c>
      <c r="I25" s="13">
        <v>80000</v>
      </c>
      <c r="J25" s="34">
        <f t="shared" si="8"/>
        <v>1.0576483749999999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5"/>
        <v>0</v>
      </c>
      <c r="F26" s="13">
        <f t="shared" si="6"/>
        <v>625</v>
      </c>
      <c r="G26" s="13">
        <f t="shared" ref="G26:G35" si="9">E26</f>
        <v>0</v>
      </c>
      <c r="H26" s="13">
        <f t="shared" si="7"/>
        <v>6875</v>
      </c>
      <c r="I26" s="13">
        <v>7500</v>
      </c>
      <c r="J26" s="34">
        <f t="shared" si="8"/>
        <v>0</v>
      </c>
    </row>
    <row r="27" spans="1:11" x14ac:dyDescent="0.2">
      <c r="A27" s="11" t="s">
        <v>17</v>
      </c>
      <c r="B27" s="13">
        <v>1587.4</v>
      </c>
      <c r="C27" s="13">
        <v>1187</v>
      </c>
      <c r="D27" s="13">
        <v>1005.8</v>
      </c>
      <c r="E27" s="14">
        <f t="shared" si="5"/>
        <v>3780.2</v>
      </c>
      <c r="F27" s="13">
        <f t="shared" si="6"/>
        <v>3600</v>
      </c>
      <c r="G27" s="13">
        <v>36907.4</v>
      </c>
      <c r="H27" s="13">
        <f t="shared" si="7"/>
        <v>39600</v>
      </c>
      <c r="I27" s="13">
        <v>43200</v>
      </c>
      <c r="J27" s="34">
        <f t="shared" si="8"/>
        <v>0.85433796296296305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5"/>
        <v>0</v>
      </c>
      <c r="F28" s="13">
        <f t="shared" si="6"/>
        <v>8750</v>
      </c>
      <c r="G28" s="13">
        <v>105312.99</v>
      </c>
      <c r="H28" s="13">
        <f t="shared" si="7"/>
        <v>96250</v>
      </c>
      <c r="I28" s="13">
        <v>105000</v>
      </c>
      <c r="J28" s="34">
        <f t="shared" si="8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5"/>
        <v>0</v>
      </c>
      <c r="F29" s="13">
        <f t="shared" si="6"/>
        <v>833.33333333333337</v>
      </c>
      <c r="G29" s="13">
        <f t="shared" si="9"/>
        <v>0</v>
      </c>
      <c r="H29" s="13">
        <f t="shared" si="7"/>
        <v>9166.6666666666679</v>
      </c>
      <c r="I29" s="13">
        <f>10000</f>
        <v>10000</v>
      </c>
      <c r="J29" s="34">
        <f t="shared" si="8"/>
        <v>0</v>
      </c>
    </row>
    <row r="30" spans="1:11" x14ac:dyDescent="0.2">
      <c r="A30" s="11" t="s">
        <v>20</v>
      </c>
      <c r="B30" s="13">
        <v>0</v>
      </c>
      <c r="C30" s="13">
        <v>185</v>
      </c>
      <c r="D30" s="13">
        <v>185</v>
      </c>
      <c r="E30" s="14">
        <f t="shared" si="5"/>
        <v>370</v>
      </c>
      <c r="F30" s="13">
        <f t="shared" si="6"/>
        <v>2083.3333333333335</v>
      </c>
      <c r="G30" s="13">
        <v>14545</v>
      </c>
      <c r="H30" s="13">
        <f t="shared" si="7"/>
        <v>22916.666666666668</v>
      </c>
      <c r="I30" s="13">
        <v>25000</v>
      </c>
      <c r="J30" s="34">
        <f t="shared" si="8"/>
        <v>0.58179999999999998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0</v>
      </c>
      <c r="E31" s="14">
        <f t="shared" si="5"/>
        <v>0</v>
      </c>
      <c r="F31" s="13">
        <f t="shared" si="6"/>
        <v>1750</v>
      </c>
      <c r="G31" s="13">
        <v>15638.92</v>
      </c>
      <c r="H31" s="13">
        <f t="shared" si="7"/>
        <v>19250</v>
      </c>
      <c r="I31" s="13">
        <v>21000</v>
      </c>
      <c r="J31" s="34">
        <f t="shared" si="8"/>
        <v>0.74471047619047614</v>
      </c>
    </row>
    <row r="32" spans="1:11" x14ac:dyDescent="0.2">
      <c r="A32" s="11" t="s">
        <v>22</v>
      </c>
      <c r="B32" s="13">
        <v>0</v>
      </c>
      <c r="C32" s="13">
        <v>935.31</v>
      </c>
      <c r="D32" s="13">
        <v>874.37</v>
      </c>
      <c r="E32" s="14">
        <f t="shared" si="5"/>
        <v>1809.6799999999998</v>
      </c>
      <c r="F32" s="13">
        <f t="shared" si="6"/>
        <v>2666.6666666666665</v>
      </c>
      <c r="G32" s="13">
        <v>22057.95</v>
      </c>
      <c r="H32" s="13">
        <f t="shared" si="7"/>
        <v>29333.333333333332</v>
      </c>
      <c r="I32" s="13">
        <v>32000</v>
      </c>
      <c r="J32" s="34">
        <f t="shared" si="8"/>
        <v>0.68931093750000005</v>
      </c>
    </row>
    <row r="33" spans="1:19" x14ac:dyDescent="0.2">
      <c r="A33" s="11" t="s">
        <v>23</v>
      </c>
      <c r="B33" s="13">
        <v>112.67</v>
      </c>
      <c r="C33" s="13">
        <v>4964.66</v>
      </c>
      <c r="D33" s="13">
        <v>4879.67</v>
      </c>
      <c r="E33" s="13">
        <f t="shared" si="5"/>
        <v>9957</v>
      </c>
      <c r="F33" s="13">
        <f t="shared" si="6"/>
        <v>10833.333333333334</v>
      </c>
      <c r="G33" s="13">
        <v>97394.11</v>
      </c>
      <c r="H33" s="13">
        <f t="shared" si="7"/>
        <v>119166.66666666667</v>
      </c>
      <c r="I33" s="13">
        <v>130000</v>
      </c>
      <c r="J33" s="34">
        <f t="shared" si="8"/>
        <v>0.74918546153846155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0</v>
      </c>
      <c r="E34" s="14">
        <f t="shared" si="5"/>
        <v>0</v>
      </c>
      <c r="F34" s="13">
        <f t="shared" si="6"/>
        <v>1666.6666666666667</v>
      </c>
      <c r="G34" s="13">
        <v>1585.28</v>
      </c>
      <c r="H34" s="13">
        <f t="shared" si="7"/>
        <v>18333.333333333336</v>
      </c>
      <c r="I34" s="13">
        <v>20000</v>
      </c>
      <c r="J34" s="34">
        <f t="shared" si="8"/>
        <v>7.9264000000000001E-2</v>
      </c>
    </row>
    <row r="35" spans="1:19" ht="13.5" customHeight="1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5"/>
        <v>0</v>
      </c>
      <c r="F35" s="13">
        <f t="shared" si="6"/>
        <v>250</v>
      </c>
      <c r="G35" s="13">
        <f t="shared" si="9"/>
        <v>0</v>
      </c>
      <c r="H35" s="13">
        <f t="shared" si="7"/>
        <v>2750</v>
      </c>
      <c r="I35" s="13">
        <f>1500+1500</f>
        <v>3000</v>
      </c>
      <c r="J35" s="34">
        <f t="shared" si="8"/>
        <v>0</v>
      </c>
    </row>
    <row r="36" spans="1:19" x14ac:dyDescent="0.2">
      <c r="A36" s="11" t="s">
        <v>26</v>
      </c>
      <c r="B36" s="13">
        <v>0</v>
      </c>
      <c r="C36" s="13">
        <v>0</v>
      </c>
      <c r="D36" s="13">
        <v>65523.91</v>
      </c>
      <c r="E36" s="14">
        <f t="shared" si="5"/>
        <v>65523.91</v>
      </c>
      <c r="F36" s="13">
        <f t="shared" si="6"/>
        <v>29166.666666666668</v>
      </c>
      <c r="G36" s="13">
        <v>213566.82</v>
      </c>
      <c r="H36" s="13">
        <f t="shared" si="7"/>
        <v>320833.33333333337</v>
      </c>
      <c r="I36" s="13">
        <v>350000</v>
      </c>
      <c r="J36" s="34">
        <f t="shared" si="8"/>
        <v>0.61019091428571426</v>
      </c>
    </row>
    <row r="37" spans="1:19" x14ac:dyDescent="0.2">
      <c r="A37" s="11"/>
      <c r="B37" s="14"/>
      <c r="C37" s="13"/>
      <c r="D37" s="13"/>
      <c r="E37" s="14"/>
      <c r="F37" s="13"/>
      <c r="G37" s="13"/>
      <c r="H37" s="13"/>
      <c r="I37" s="13"/>
    </row>
    <row r="38" spans="1:19" x14ac:dyDescent="0.2">
      <c r="B38" s="42" t="s">
        <v>57</v>
      </c>
      <c r="C38" s="46" t="s">
        <v>58</v>
      </c>
      <c r="D38" s="41" t="s">
        <v>59</v>
      </c>
      <c r="E38" s="42" t="s">
        <v>60</v>
      </c>
      <c r="F38" s="41" t="s">
        <v>61</v>
      </c>
      <c r="G38" s="41" t="s">
        <v>62</v>
      </c>
      <c r="H38" s="41" t="s">
        <v>62</v>
      </c>
      <c r="I38" s="41" t="s">
        <v>63</v>
      </c>
      <c r="J38" s="16">
        <f>+J4</f>
        <v>0.92</v>
      </c>
      <c r="K38" s="1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1"/>
      <c r="B39" s="42"/>
      <c r="C39" s="46"/>
      <c r="D39" s="41"/>
      <c r="E39" s="42" t="s">
        <v>68</v>
      </c>
      <c r="F39" s="41" t="s">
        <v>65</v>
      </c>
      <c r="G39" s="41" t="s">
        <v>68</v>
      </c>
      <c r="H39" s="41" t="s">
        <v>67</v>
      </c>
      <c r="I39" s="41" t="s">
        <v>67</v>
      </c>
      <c r="J39" s="17" t="s">
        <v>65</v>
      </c>
      <c r="K39" s="1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1" t="s">
        <v>13</v>
      </c>
      <c r="B40" s="42"/>
      <c r="C40" s="46"/>
      <c r="D40" s="41"/>
      <c r="E40" s="42"/>
      <c r="F40" s="41"/>
      <c r="G40" s="41"/>
      <c r="H40" s="41"/>
      <c r="I40" s="41"/>
      <c r="J40" s="17" t="s">
        <v>75</v>
      </c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11" t="s">
        <v>27</v>
      </c>
      <c r="B41" s="6">
        <v>4712.3100000000004</v>
      </c>
      <c r="C41" s="6">
        <v>8590.7800000000007</v>
      </c>
      <c r="D41" s="6">
        <v>5768.59</v>
      </c>
      <c r="E41" s="14">
        <f t="shared" ref="E41:E67" si="10">SUM(B41:D41)</f>
        <v>19071.68</v>
      </c>
      <c r="F41" s="6">
        <f t="shared" ref="F41:F43" si="11">I41/12</f>
        <v>16500</v>
      </c>
      <c r="G41" s="6">
        <v>190981.35</v>
      </c>
      <c r="H41" s="13">
        <f t="shared" ref="H41:H67" si="12">F41*11</f>
        <v>181500</v>
      </c>
      <c r="I41" s="6">
        <v>198000</v>
      </c>
      <c r="J41" s="34">
        <f t="shared" ref="J41:J68" si="13">+G41/I41</f>
        <v>0.96455227272727273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 t="s">
        <v>28</v>
      </c>
      <c r="B42" s="13">
        <v>0</v>
      </c>
      <c r="C42" s="13">
        <v>0</v>
      </c>
      <c r="D42" s="13">
        <v>0</v>
      </c>
      <c r="E42" s="14">
        <f t="shared" si="10"/>
        <v>0</v>
      </c>
      <c r="F42" s="13">
        <f t="shared" si="11"/>
        <v>25520.833333333332</v>
      </c>
      <c r="G42" s="13">
        <v>293242</v>
      </c>
      <c r="H42" s="13">
        <f t="shared" si="12"/>
        <v>280729.16666666663</v>
      </c>
      <c r="I42" s="13">
        <v>306250</v>
      </c>
      <c r="J42" s="34">
        <f t="shared" si="13"/>
        <v>0.95752489795918372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29</v>
      </c>
      <c r="B43" s="13">
        <v>0</v>
      </c>
      <c r="C43" s="13">
        <v>387.89</v>
      </c>
      <c r="D43" s="13">
        <v>0</v>
      </c>
      <c r="E43" s="14">
        <f t="shared" si="10"/>
        <v>387.89</v>
      </c>
      <c r="F43" s="13">
        <f t="shared" si="11"/>
        <v>416.66666666666669</v>
      </c>
      <c r="G43" s="13">
        <v>1921.95</v>
      </c>
      <c r="H43" s="13">
        <f t="shared" si="12"/>
        <v>4583.3333333333339</v>
      </c>
      <c r="I43" s="13">
        <f>2500+2500</f>
        <v>5000</v>
      </c>
      <c r="J43" s="34">
        <f t="shared" si="13"/>
        <v>0.38439000000000001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30</v>
      </c>
      <c r="B44" s="13">
        <v>0</v>
      </c>
      <c r="C44" s="13">
        <v>5</v>
      </c>
      <c r="D44" s="13">
        <v>0</v>
      </c>
      <c r="E44" s="14">
        <f t="shared" si="10"/>
        <v>5</v>
      </c>
      <c r="F44" s="13">
        <f>I44/12</f>
        <v>1333.3333333333333</v>
      </c>
      <c r="G44" s="13">
        <v>19691.71</v>
      </c>
      <c r="H44" s="13">
        <f t="shared" si="12"/>
        <v>14666.666666666666</v>
      </c>
      <c r="I44" s="13">
        <f>8000+8000</f>
        <v>16000</v>
      </c>
      <c r="J44" s="34">
        <f t="shared" si="13"/>
        <v>1.230731875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32</v>
      </c>
      <c r="B45" s="13">
        <v>0</v>
      </c>
      <c r="C45" s="13">
        <v>0</v>
      </c>
      <c r="D45" s="13">
        <v>0</v>
      </c>
      <c r="E45" s="14">
        <f t="shared" si="10"/>
        <v>0</v>
      </c>
      <c r="F45" s="13">
        <f t="shared" ref="F45:F67" si="14">I45/12</f>
        <v>6500</v>
      </c>
      <c r="G45" s="13">
        <v>0</v>
      </c>
      <c r="H45" s="13">
        <f t="shared" si="12"/>
        <v>71500</v>
      </c>
      <c r="I45" s="13">
        <v>78000</v>
      </c>
      <c r="J45" s="34">
        <f t="shared" si="13"/>
        <v>0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33</v>
      </c>
      <c r="B46" s="13">
        <v>0</v>
      </c>
      <c r="C46" s="13">
        <v>0</v>
      </c>
      <c r="D46" s="13">
        <v>611.1</v>
      </c>
      <c r="E46" s="14">
        <f t="shared" si="10"/>
        <v>611.1</v>
      </c>
      <c r="F46" s="13">
        <f t="shared" si="14"/>
        <v>750</v>
      </c>
      <c r="G46" s="13">
        <v>2764.43</v>
      </c>
      <c r="H46" s="13">
        <f t="shared" si="12"/>
        <v>8250</v>
      </c>
      <c r="I46" s="13">
        <v>9000</v>
      </c>
      <c r="J46" s="34">
        <f t="shared" si="13"/>
        <v>0.30715888888888887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34</v>
      </c>
      <c r="B47" s="13">
        <v>0</v>
      </c>
      <c r="C47" s="13">
        <v>283.58999999999997</v>
      </c>
      <c r="D47" s="13">
        <v>170.47</v>
      </c>
      <c r="E47" s="13">
        <f t="shared" si="10"/>
        <v>454.05999999999995</v>
      </c>
      <c r="F47" s="13">
        <f t="shared" si="14"/>
        <v>1250</v>
      </c>
      <c r="G47" s="13">
        <v>12231.99</v>
      </c>
      <c r="H47" s="13">
        <f t="shared" si="12"/>
        <v>13750</v>
      </c>
      <c r="I47" s="13">
        <v>15000</v>
      </c>
      <c r="J47" s="34">
        <f t="shared" si="13"/>
        <v>0.81546600000000002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35</v>
      </c>
      <c r="B48" s="13">
        <v>0</v>
      </c>
      <c r="C48" s="13">
        <v>319.98</v>
      </c>
      <c r="D48" s="13">
        <v>2203.9299999999998</v>
      </c>
      <c r="E48" s="14">
        <f t="shared" si="10"/>
        <v>2523.91</v>
      </c>
      <c r="F48" s="13">
        <f t="shared" si="14"/>
        <v>13750</v>
      </c>
      <c r="G48" s="13">
        <v>73977.45</v>
      </c>
      <c r="H48" s="13">
        <f t="shared" si="12"/>
        <v>151250</v>
      </c>
      <c r="I48" s="13">
        <v>165000</v>
      </c>
      <c r="J48" s="34">
        <f t="shared" si="13"/>
        <v>0.44834818181818181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36</v>
      </c>
      <c r="B49" s="13">
        <v>0</v>
      </c>
      <c r="C49" s="13">
        <v>80543.72</v>
      </c>
      <c r="D49" s="13">
        <v>0</v>
      </c>
      <c r="E49" s="14">
        <f t="shared" si="10"/>
        <v>80543.72</v>
      </c>
      <c r="F49" s="13">
        <f t="shared" si="14"/>
        <v>91666.666666666672</v>
      </c>
      <c r="G49" s="13">
        <v>994786.65</v>
      </c>
      <c r="H49" s="13">
        <f t="shared" si="12"/>
        <v>1008333.3333333334</v>
      </c>
      <c r="I49" s="13">
        <v>1100000</v>
      </c>
      <c r="J49" s="34">
        <f t="shared" si="13"/>
        <v>0.90435149999999997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37</v>
      </c>
      <c r="B50" s="13">
        <v>0</v>
      </c>
      <c r="C50" s="13">
        <v>995.77</v>
      </c>
      <c r="D50" s="13">
        <v>0</v>
      </c>
      <c r="E50" s="14">
        <f t="shared" si="10"/>
        <v>995.77</v>
      </c>
      <c r="F50" s="13">
        <f t="shared" si="14"/>
        <v>875</v>
      </c>
      <c r="G50" s="13">
        <v>6491.47</v>
      </c>
      <c r="H50" s="13">
        <f t="shared" si="12"/>
        <v>9625</v>
      </c>
      <c r="I50" s="13">
        <v>10500</v>
      </c>
      <c r="J50" s="34">
        <f t="shared" si="13"/>
        <v>0.61823523809523817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38</v>
      </c>
      <c r="B51" s="13">
        <v>0</v>
      </c>
      <c r="C51" s="13">
        <v>12481</v>
      </c>
      <c r="D51" s="13">
        <v>0</v>
      </c>
      <c r="E51" s="14">
        <f t="shared" si="10"/>
        <v>12481</v>
      </c>
      <c r="F51" s="13">
        <f t="shared" si="14"/>
        <v>3333.3333333333335</v>
      </c>
      <c r="G51" s="13">
        <v>82024.25</v>
      </c>
      <c r="H51" s="13">
        <f t="shared" si="12"/>
        <v>36666.666666666672</v>
      </c>
      <c r="I51" s="13">
        <v>40000</v>
      </c>
      <c r="J51" s="34">
        <f t="shared" si="13"/>
        <v>2.05060625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39</v>
      </c>
      <c r="B52" s="13">
        <v>0</v>
      </c>
      <c r="C52" s="13">
        <v>1387.71</v>
      </c>
      <c r="D52" s="13">
        <v>0</v>
      </c>
      <c r="E52" s="14">
        <f t="shared" si="10"/>
        <v>1387.71</v>
      </c>
      <c r="F52" s="13">
        <f t="shared" si="14"/>
        <v>625</v>
      </c>
      <c r="G52" s="13">
        <v>13051.21</v>
      </c>
      <c r="H52" s="13">
        <f t="shared" si="12"/>
        <v>6875</v>
      </c>
      <c r="I52" s="13">
        <v>7500</v>
      </c>
      <c r="J52" s="34">
        <f t="shared" si="13"/>
        <v>1.7401613333333332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40</v>
      </c>
      <c r="B53" s="13">
        <v>330</v>
      </c>
      <c r="C53" s="13">
        <v>0</v>
      </c>
      <c r="D53" s="13">
        <v>0</v>
      </c>
      <c r="E53" s="14">
        <f t="shared" si="10"/>
        <v>330</v>
      </c>
      <c r="F53" s="13">
        <f t="shared" si="14"/>
        <v>875</v>
      </c>
      <c r="G53" s="13">
        <v>7639.13</v>
      </c>
      <c r="H53" s="13">
        <f t="shared" si="12"/>
        <v>9625</v>
      </c>
      <c r="I53" s="13">
        <v>10500</v>
      </c>
      <c r="J53" s="34">
        <f t="shared" si="13"/>
        <v>0.72753619047619045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41</v>
      </c>
      <c r="B54" s="13">
        <v>682.41</v>
      </c>
      <c r="C54" s="13">
        <v>103.85</v>
      </c>
      <c r="D54" s="13">
        <v>0</v>
      </c>
      <c r="E54" s="14">
        <f t="shared" si="10"/>
        <v>786.26</v>
      </c>
      <c r="F54" s="13">
        <f t="shared" si="14"/>
        <v>2500</v>
      </c>
      <c r="G54" s="13">
        <v>39587.46</v>
      </c>
      <c r="H54" s="13">
        <f t="shared" si="12"/>
        <v>27500</v>
      </c>
      <c r="I54" s="13">
        <v>30000</v>
      </c>
      <c r="J54" s="34">
        <f t="shared" si="13"/>
        <v>1.319582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42</v>
      </c>
      <c r="B55" s="13">
        <v>0</v>
      </c>
      <c r="C55" s="13">
        <v>2684.66</v>
      </c>
      <c r="D55" s="13">
        <v>0</v>
      </c>
      <c r="E55" s="14">
        <f t="shared" si="10"/>
        <v>2684.66</v>
      </c>
      <c r="F55" s="13">
        <f t="shared" si="14"/>
        <v>13333.333333333334</v>
      </c>
      <c r="G55" s="13">
        <v>104978.57</v>
      </c>
      <c r="H55" s="13">
        <f t="shared" si="12"/>
        <v>146666.66666666669</v>
      </c>
      <c r="I55" s="13">
        <v>160000</v>
      </c>
      <c r="J55" s="34">
        <f t="shared" si="13"/>
        <v>0.6561160625000001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43</v>
      </c>
      <c r="B56" s="13">
        <v>0</v>
      </c>
      <c r="C56" s="13">
        <v>6454.37</v>
      </c>
      <c r="D56" s="13">
        <v>0</v>
      </c>
      <c r="E56" s="14">
        <f t="shared" si="10"/>
        <v>6454.37</v>
      </c>
      <c r="F56" s="13">
        <f t="shared" si="14"/>
        <v>3333.3333333333335</v>
      </c>
      <c r="G56" s="13">
        <v>54206.19</v>
      </c>
      <c r="H56" s="13">
        <f t="shared" si="12"/>
        <v>36666.666666666672</v>
      </c>
      <c r="I56" s="13">
        <v>40000</v>
      </c>
      <c r="J56" s="34">
        <f t="shared" si="13"/>
        <v>1.3551547500000001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44</v>
      </c>
      <c r="B57" s="13">
        <v>0</v>
      </c>
      <c r="C57" s="13">
        <v>0</v>
      </c>
      <c r="D57" s="13">
        <v>0</v>
      </c>
      <c r="E57" s="14">
        <f t="shared" si="10"/>
        <v>0</v>
      </c>
      <c r="F57" s="13">
        <f t="shared" si="14"/>
        <v>1583.3333333333333</v>
      </c>
      <c r="G57" s="13">
        <v>22802</v>
      </c>
      <c r="H57" s="13">
        <f t="shared" si="12"/>
        <v>17416.666666666664</v>
      </c>
      <c r="I57" s="13">
        <v>19000</v>
      </c>
      <c r="J57" s="34">
        <f t="shared" si="13"/>
        <v>1.2001052631578948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45</v>
      </c>
      <c r="B58" s="13">
        <v>0</v>
      </c>
      <c r="C58" s="13">
        <v>0</v>
      </c>
      <c r="D58" s="13">
        <v>0</v>
      </c>
      <c r="E58" s="14">
        <f t="shared" si="10"/>
        <v>0</v>
      </c>
      <c r="F58" s="13">
        <f t="shared" si="14"/>
        <v>1416.6666666666667</v>
      </c>
      <c r="G58" s="13">
        <v>19679.63</v>
      </c>
      <c r="H58" s="13">
        <f t="shared" si="12"/>
        <v>15583.333333333334</v>
      </c>
      <c r="I58" s="13">
        <v>17000</v>
      </c>
      <c r="J58" s="34">
        <f t="shared" si="13"/>
        <v>1.157625294117647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46</v>
      </c>
      <c r="B59" s="13">
        <v>0</v>
      </c>
      <c r="C59" s="13">
        <v>0</v>
      </c>
      <c r="D59" s="13">
        <v>0</v>
      </c>
      <c r="E59" s="14">
        <f t="shared" si="10"/>
        <v>0</v>
      </c>
      <c r="F59" s="13">
        <f t="shared" si="14"/>
        <v>1666.6666666666667</v>
      </c>
      <c r="G59" s="13">
        <v>11159.11</v>
      </c>
      <c r="H59" s="13">
        <f t="shared" si="12"/>
        <v>18333.333333333336</v>
      </c>
      <c r="I59" s="13">
        <v>20000</v>
      </c>
      <c r="J59" s="34">
        <f t="shared" si="13"/>
        <v>0.55795550000000005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47</v>
      </c>
      <c r="B60" s="13">
        <v>16583.23</v>
      </c>
      <c r="C60" s="13">
        <v>0</v>
      </c>
      <c r="D60" s="13">
        <v>0</v>
      </c>
      <c r="E60" s="14">
        <f t="shared" si="10"/>
        <v>16583.23</v>
      </c>
      <c r="F60" s="13">
        <f t="shared" si="14"/>
        <v>12541.666666666666</v>
      </c>
      <c r="G60" s="13">
        <v>137110.1</v>
      </c>
      <c r="H60" s="13">
        <f t="shared" si="12"/>
        <v>137958.33333333331</v>
      </c>
      <c r="I60" s="13">
        <v>150500</v>
      </c>
      <c r="J60" s="34">
        <f t="shared" si="13"/>
        <v>0.9110305647840532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48</v>
      </c>
      <c r="B61" s="13">
        <v>0</v>
      </c>
      <c r="C61" s="13">
        <v>0</v>
      </c>
      <c r="D61" s="13">
        <v>0</v>
      </c>
      <c r="E61" s="14">
        <f t="shared" si="10"/>
        <v>0</v>
      </c>
      <c r="F61" s="13">
        <f t="shared" si="14"/>
        <v>83.333333333333329</v>
      </c>
      <c r="G61" s="13">
        <v>240</v>
      </c>
      <c r="H61" s="13">
        <f t="shared" si="12"/>
        <v>916.66666666666663</v>
      </c>
      <c r="I61" s="13">
        <v>1000</v>
      </c>
      <c r="J61" s="34">
        <f t="shared" si="13"/>
        <v>0.24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49</v>
      </c>
      <c r="B62" s="13">
        <v>0</v>
      </c>
      <c r="C62" s="13">
        <v>0</v>
      </c>
      <c r="D62" s="13">
        <v>0</v>
      </c>
      <c r="E62" s="14">
        <f t="shared" si="10"/>
        <v>0</v>
      </c>
      <c r="F62" s="13">
        <f t="shared" si="14"/>
        <v>208.33333333333334</v>
      </c>
      <c r="G62" s="13">
        <v>1674.61</v>
      </c>
      <c r="H62" s="13">
        <f t="shared" si="12"/>
        <v>2291.666666666667</v>
      </c>
      <c r="I62" s="13">
        <v>2500</v>
      </c>
      <c r="J62" s="34">
        <f t="shared" si="13"/>
        <v>0.66984399999999999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50</v>
      </c>
      <c r="B63" s="13">
        <v>6000</v>
      </c>
      <c r="C63" s="13">
        <v>0</v>
      </c>
      <c r="D63" s="13">
        <v>0</v>
      </c>
      <c r="E63" s="14">
        <f t="shared" si="10"/>
        <v>6000</v>
      </c>
      <c r="F63" s="13">
        <f t="shared" si="14"/>
        <v>2500</v>
      </c>
      <c r="G63" s="13">
        <v>23190.5</v>
      </c>
      <c r="H63" s="13">
        <f t="shared" si="12"/>
        <v>27500</v>
      </c>
      <c r="I63" s="13">
        <v>30000</v>
      </c>
      <c r="J63" s="34">
        <f t="shared" si="13"/>
        <v>0.77301666666666669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52</v>
      </c>
      <c r="B64" s="13">
        <v>0</v>
      </c>
      <c r="C64" s="13">
        <v>4888.6099999999997</v>
      </c>
      <c r="D64" s="13">
        <v>0</v>
      </c>
      <c r="E64" s="14">
        <f t="shared" si="10"/>
        <v>4888.6099999999997</v>
      </c>
      <c r="F64" s="13">
        <f t="shared" si="14"/>
        <v>4000</v>
      </c>
      <c r="G64" s="13">
        <v>49067.56</v>
      </c>
      <c r="H64" s="13">
        <f t="shared" si="12"/>
        <v>44000</v>
      </c>
      <c r="I64" s="13">
        <v>48000</v>
      </c>
      <c r="J64" s="34">
        <f t="shared" si="13"/>
        <v>1.0222408333333333</v>
      </c>
      <c r="K64" s="1"/>
      <c r="L64" s="2"/>
      <c r="M64" s="2"/>
      <c r="N64" s="2"/>
      <c r="O64" s="3"/>
      <c r="Q64" s="3"/>
    </row>
    <row r="65" spans="1:10" x14ac:dyDescent="0.2">
      <c r="A65" s="11" t="s">
        <v>53</v>
      </c>
      <c r="B65" s="13">
        <v>0</v>
      </c>
      <c r="C65" s="13">
        <v>50</v>
      </c>
      <c r="D65" s="13">
        <v>0</v>
      </c>
      <c r="E65" s="14">
        <f t="shared" si="10"/>
        <v>50</v>
      </c>
      <c r="F65" s="13">
        <f t="shared" si="14"/>
        <v>833.33333333333337</v>
      </c>
      <c r="G65" s="13">
        <v>9339.09</v>
      </c>
      <c r="H65" s="13">
        <f t="shared" si="12"/>
        <v>9166.6666666666679</v>
      </c>
      <c r="I65" s="13">
        <v>10000</v>
      </c>
      <c r="J65" s="34">
        <f t="shared" si="13"/>
        <v>0.93390899999999999</v>
      </c>
    </row>
    <row r="66" spans="1:10" x14ac:dyDescent="0.2">
      <c r="A66" s="11" t="s">
        <v>54</v>
      </c>
      <c r="B66" s="13">
        <v>0</v>
      </c>
      <c r="C66" s="13">
        <v>0</v>
      </c>
      <c r="D66" s="13">
        <v>0</v>
      </c>
      <c r="E66" s="14">
        <f t="shared" si="10"/>
        <v>0</v>
      </c>
      <c r="F66" s="13">
        <f t="shared" si="14"/>
        <v>4.166666666666667</v>
      </c>
      <c r="G66" s="13">
        <f t="shared" ref="G66" si="15">E66</f>
        <v>0</v>
      </c>
      <c r="H66" s="13">
        <f t="shared" si="12"/>
        <v>45.833333333333336</v>
      </c>
      <c r="I66" s="13">
        <v>50</v>
      </c>
      <c r="J66" s="34">
        <f t="shared" si="13"/>
        <v>0</v>
      </c>
    </row>
    <row r="67" spans="1:10" x14ac:dyDescent="0.2">
      <c r="A67" s="11" t="s">
        <v>72</v>
      </c>
      <c r="B67" s="13">
        <v>0</v>
      </c>
      <c r="C67" s="13">
        <v>0</v>
      </c>
      <c r="D67" s="13">
        <v>0</v>
      </c>
      <c r="E67" s="14">
        <f t="shared" si="10"/>
        <v>0</v>
      </c>
      <c r="F67" s="13">
        <f t="shared" si="14"/>
        <v>1666.6666666666667</v>
      </c>
      <c r="G67" s="13">
        <v>5975</v>
      </c>
      <c r="H67" s="13">
        <f t="shared" si="12"/>
        <v>18333.333333333336</v>
      </c>
      <c r="I67" s="13">
        <v>20000</v>
      </c>
      <c r="J67" s="33">
        <f t="shared" si="13"/>
        <v>0.29875000000000002</v>
      </c>
    </row>
    <row r="68" spans="1:10" x14ac:dyDescent="0.2">
      <c r="A68" s="11" t="s">
        <v>55</v>
      </c>
      <c r="B68" s="43">
        <f t="shared" ref="B68:H68" si="16">SUM(B24:B67)</f>
        <v>60685.31</v>
      </c>
      <c r="C68" s="43">
        <f t="shared" si="16"/>
        <v>174544.68999999997</v>
      </c>
      <c r="D68" s="44">
        <f t="shared" si="16"/>
        <v>97709.7</v>
      </c>
      <c r="E68" s="43">
        <f t="shared" si="16"/>
        <v>332939.69999999995</v>
      </c>
      <c r="F68" s="43">
        <f t="shared" si="16"/>
        <v>363791.66666666663</v>
      </c>
      <c r="G68" s="44">
        <f t="shared" si="16"/>
        <v>3782904.46</v>
      </c>
      <c r="H68" s="43">
        <f t="shared" si="16"/>
        <v>4001708.333333333</v>
      </c>
      <c r="I68" s="44">
        <f>SUM(I41:I67)+SUM(I24:I36)</f>
        <v>4365500</v>
      </c>
      <c r="J68" s="37">
        <f t="shared" si="13"/>
        <v>0.86654551826823956</v>
      </c>
    </row>
    <row r="69" spans="1:10" x14ac:dyDescent="0.2">
      <c r="B69" s="14"/>
      <c r="C69" s="14" t="s">
        <v>69</v>
      </c>
      <c r="D69" s="13"/>
      <c r="E69" s="14"/>
      <c r="F69" s="14"/>
      <c r="G69" s="13"/>
      <c r="H69" s="14"/>
      <c r="I69" s="13"/>
    </row>
    <row r="70" spans="1:10" ht="13.5" thickBot="1" x14ac:dyDescent="0.25">
      <c r="A70" s="11" t="s">
        <v>56</v>
      </c>
      <c r="B70" s="38">
        <f t="shared" ref="B70:G70" si="17">B19-B68</f>
        <v>-60685.31</v>
      </c>
      <c r="C70" s="38">
        <f t="shared" si="17"/>
        <v>38615.050000000017</v>
      </c>
      <c r="D70" s="39">
        <f t="shared" si="17"/>
        <v>44301.269999999975</v>
      </c>
      <c r="E70" s="38">
        <f t="shared" si="17"/>
        <v>22231.010000000009</v>
      </c>
      <c r="F70" s="38">
        <f t="shared" si="17"/>
        <v>0</v>
      </c>
      <c r="G70" s="39">
        <f t="shared" si="17"/>
        <v>350429.96000000043</v>
      </c>
      <c r="H70" s="10"/>
      <c r="I70" s="12"/>
    </row>
    <row r="71" spans="1:10" ht="13.5" thickTop="1" x14ac:dyDescent="0.2"/>
  </sheetData>
  <pageMargins left="0.7" right="0.7" top="0.75" bottom="0.75" header="0.3" footer="0.3"/>
  <pageSetup orientation="landscape" r:id="rId1"/>
  <rowBreaks count="1" manualBreakCount="1">
    <brk id="35" max="16383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7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2" sqref="A72:B73"/>
    </sheetView>
  </sheetViews>
  <sheetFormatPr defaultRowHeight="12.75" x14ac:dyDescent="0.2"/>
  <cols>
    <col min="1" max="1" width="27.42578125" style="10" customWidth="1"/>
    <col min="2" max="2" width="10.4257812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2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E1" s="31" t="s">
        <v>74</v>
      </c>
    </row>
    <row r="3" spans="1:10" ht="15.75" x14ac:dyDescent="0.25">
      <c r="E3" s="31" t="s">
        <v>99</v>
      </c>
    </row>
    <row r="4" spans="1:10" x14ac:dyDescent="0.2">
      <c r="F4" s="7"/>
      <c r="H4" s="7"/>
      <c r="J4" s="16">
        <v>1</v>
      </c>
    </row>
    <row r="5" spans="1:10" x14ac:dyDescent="0.2">
      <c r="B5" s="42" t="s">
        <v>57</v>
      </c>
      <c r="C5" s="45" t="s">
        <v>58</v>
      </c>
      <c r="D5" s="41" t="s">
        <v>59</v>
      </c>
      <c r="E5" s="42" t="s">
        <v>60</v>
      </c>
      <c r="F5" s="41" t="s">
        <v>61</v>
      </c>
      <c r="G5" s="41" t="s">
        <v>62</v>
      </c>
      <c r="H5" s="41" t="s">
        <v>62</v>
      </c>
      <c r="I5" s="41" t="s">
        <v>63</v>
      </c>
      <c r="J5" s="17" t="s">
        <v>65</v>
      </c>
    </row>
    <row r="6" spans="1:10" x14ac:dyDescent="0.2">
      <c r="A6" s="11" t="s">
        <v>0</v>
      </c>
      <c r="B6" s="42"/>
      <c r="C6" s="45"/>
      <c r="D6" s="41"/>
      <c r="E6" s="42" t="s">
        <v>64</v>
      </c>
      <c r="F6" s="41" t="s">
        <v>65</v>
      </c>
      <c r="G6" s="41" t="s">
        <v>66</v>
      </c>
      <c r="H6" s="41" t="s">
        <v>67</v>
      </c>
      <c r="I6" s="41" t="s">
        <v>67</v>
      </c>
      <c r="J6" s="17" t="s">
        <v>75</v>
      </c>
    </row>
    <row r="7" spans="1:10" x14ac:dyDescent="0.2">
      <c r="A7" s="11" t="s">
        <v>1</v>
      </c>
      <c r="B7" s="13">
        <v>0</v>
      </c>
      <c r="C7" s="13">
        <v>600</v>
      </c>
      <c r="D7" s="13">
        <v>131034.02</v>
      </c>
      <c r="E7" s="14">
        <f>SUM(B7:D7)</f>
        <v>131634.02000000002</v>
      </c>
      <c r="F7" s="13">
        <f>I7/12</f>
        <v>148333.33333333334</v>
      </c>
      <c r="G7" s="13">
        <v>1670070.94</v>
      </c>
      <c r="H7" s="13">
        <f>F7*12</f>
        <v>1780000</v>
      </c>
      <c r="I7" s="13">
        <v>1780000</v>
      </c>
      <c r="J7" s="32">
        <f>+G7/I7</f>
        <v>0.93824210112359552</v>
      </c>
    </row>
    <row r="8" spans="1:10" x14ac:dyDescent="0.2">
      <c r="A8" s="11" t="s">
        <v>2</v>
      </c>
      <c r="B8" s="13">
        <v>0</v>
      </c>
      <c r="C8" s="13">
        <v>1059.96</v>
      </c>
      <c r="D8" s="13">
        <v>6706.49</v>
      </c>
      <c r="E8" s="14">
        <f t="shared" ref="E8:E18" si="0">SUM(B8:D8)</f>
        <v>7766.45</v>
      </c>
      <c r="F8" s="13">
        <f t="shared" ref="F8:F18" si="1">I8/12</f>
        <v>6083.333333333333</v>
      </c>
      <c r="G8" s="13">
        <v>85978.880000000005</v>
      </c>
      <c r="H8" s="13">
        <f t="shared" ref="H8:H18" si="2">F8*12</f>
        <v>73000</v>
      </c>
      <c r="I8" s="13">
        <v>73000</v>
      </c>
      <c r="J8" s="32">
        <f t="shared" ref="J8:J19" si="3">+G8/I8</f>
        <v>1.1777928767123289</v>
      </c>
    </row>
    <row r="9" spans="1:10" x14ac:dyDescent="0.2">
      <c r="A9" s="11" t="s">
        <v>71</v>
      </c>
      <c r="B9" s="13">
        <v>0</v>
      </c>
      <c r="C9" s="13">
        <v>0</v>
      </c>
      <c r="D9" s="13">
        <v>0</v>
      </c>
      <c r="E9" s="14">
        <f t="shared" si="0"/>
        <v>0</v>
      </c>
      <c r="F9" s="13">
        <f t="shared" si="1"/>
        <v>1250</v>
      </c>
      <c r="G9" s="13">
        <v>10296.06</v>
      </c>
      <c r="H9" s="13">
        <f t="shared" si="2"/>
        <v>15000</v>
      </c>
      <c r="I9" s="13">
        <v>15000</v>
      </c>
      <c r="J9" s="32">
        <f t="shared" si="3"/>
        <v>0.68640400000000001</v>
      </c>
    </row>
    <row r="10" spans="1:10" x14ac:dyDescent="0.2">
      <c r="A10" s="11" t="s">
        <v>3</v>
      </c>
      <c r="B10" s="13">
        <v>0</v>
      </c>
      <c r="C10" s="13">
        <v>0</v>
      </c>
      <c r="D10" s="13">
        <v>5007.4399999999996</v>
      </c>
      <c r="E10" s="14">
        <f t="shared" si="0"/>
        <v>5007.4399999999996</v>
      </c>
      <c r="F10" s="13">
        <f t="shared" si="1"/>
        <v>3333.3333333333335</v>
      </c>
      <c r="G10" s="13">
        <v>53532.5</v>
      </c>
      <c r="H10" s="13">
        <f t="shared" si="2"/>
        <v>40000</v>
      </c>
      <c r="I10" s="13">
        <v>40000</v>
      </c>
      <c r="J10" s="32">
        <f t="shared" si="3"/>
        <v>1.3383125</v>
      </c>
    </row>
    <row r="11" spans="1:10" x14ac:dyDescent="0.2">
      <c r="A11" s="11" t="s">
        <v>4</v>
      </c>
      <c r="B11" s="13">
        <v>0</v>
      </c>
      <c r="C11" s="13">
        <v>0</v>
      </c>
      <c r="D11" s="13">
        <v>159.47999999999999</v>
      </c>
      <c r="E11" s="14">
        <f t="shared" si="0"/>
        <v>159.47999999999999</v>
      </c>
      <c r="F11" s="13">
        <f t="shared" si="1"/>
        <v>8333.3333333333339</v>
      </c>
      <c r="G11" s="13">
        <v>89255.5</v>
      </c>
      <c r="H11" s="13">
        <f t="shared" si="2"/>
        <v>100000</v>
      </c>
      <c r="I11" s="13">
        <v>100000</v>
      </c>
      <c r="J11" s="32">
        <f t="shared" si="3"/>
        <v>0.89255499999999999</v>
      </c>
    </row>
    <row r="12" spans="1:10" x14ac:dyDescent="0.2">
      <c r="A12" s="11" t="s">
        <v>5</v>
      </c>
      <c r="B12" s="13">
        <v>0</v>
      </c>
      <c r="C12" s="13">
        <v>94852.33</v>
      </c>
      <c r="D12" s="13">
        <v>0</v>
      </c>
      <c r="E12" s="14">
        <f t="shared" si="0"/>
        <v>94852.33</v>
      </c>
      <c r="F12" s="13">
        <f t="shared" si="1"/>
        <v>121666.66666666667</v>
      </c>
      <c r="G12" s="13">
        <v>1439608.71</v>
      </c>
      <c r="H12" s="13">
        <f t="shared" si="2"/>
        <v>1460000</v>
      </c>
      <c r="I12" s="13">
        <v>1460000</v>
      </c>
      <c r="J12" s="32">
        <f t="shared" si="3"/>
        <v>0.98603336301369859</v>
      </c>
    </row>
    <row r="13" spans="1:10" x14ac:dyDescent="0.2">
      <c r="A13" s="11" t="s">
        <v>6</v>
      </c>
      <c r="B13" s="13">
        <v>0</v>
      </c>
      <c r="C13" s="13">
        <v>581.99</v>
      </c>
      <c r="D13" s="13">
        <v>0</v>
      </c>
      <c r="E13" s="14">
        <f t="shared" si="0"/>
        <v>581.99</v>
      </c>
      <c r="F13" s="13">
        <f t="shared" si="1"/>
        <v>916.66666666666663</v>
      </c>
      <c r="G13" s="13">
        <v>9088.89</v>
      </c>
      <c r="H13" s="13">
        <f t="shared" si="2"/>
        <v>11000</v>
      </c>
      <c r="I13" s="13">
        <v>11000</v>
      </c>
      <c r="J13" s="32">
        <f t="shared" si="3"/>
        <v>0.8262627272727272</v>
      </c>
    </row>
    <row r="14" spans="1:10" x14ac:dyDescent="0.2">
      <c r="A14" s="11" t="s">
        <v>7</v>
      </c>
      <c r="B14" s="13">
        <v>0</v>
      </c>
      <c r="C14" s="13">
        <v>28507.61</v>
      </c>
      <c r="D14" s="13">
        <v>0</v>
      </c>
      <c r="E14" s="14">
        <f t="shared" si="0"/>
        <v>28507.61</v>
      </c>
      <c r="F14" s="13">
        <f t="shared" si="1"/>
        <v>15833.333333333334</v>
      </c>
      <c r="G14" s="13">
        <v>310178.05</v>
      </c>
      <c r="H14" s="13">
        <f t="shared" si="2"/>
        <v>190000</v>
      </c>
      <c r="I14" s="13">
        <v>190000</v>
      </c>
      <c r="J14" s="32">
        <f t="shared" si="3"/>
        <v>1.632516052631579</v>
      </c>
    </row>
    <row r="15" spans="1:10" x14ac:dyDescent="0.2">
      <c r="A15" s="11" t="s">
        <v>8</v>
      </c>
      <c r="B15" s="13">
        <v>0</v>
      </c>
      <c r="C15" s="13">
        <v>449.26</v>
      </c>
      <c r="D15" s="13">
        <v>0</v>
      </c>
      <c r="E15" s="14">
        <f t="shared" si="0"/>
        <v>449.26</v>
      </c>
      <c r="F15" s="13">
        <f t="shared" si="1"/>
        <v>625</v>
      </c>
      <c r="G15" s="13">
        <v>4225.59</v>
      </c>
      <c r="H15" s="13">
        <f t="shared" si="2"/>
        <v>7500</v>
      </c>
      <c r="I15" s="13">
        <v>7500</v>
      </c>
      <c r="J15" s="32">
        <f t="shared" si="3"/>
        <v>0.56341200000000002</v>
      </c>
    </row>
    <row r="16" spans="1:10" x14ac:dyDescent="0.2">
      <c r="A16" s="11" t="s">
        <v>9</v>
      </c>
      <c r="B16" s="13">
        <v>0</v>
      </c>
      <c r="C16" s="13">
        <v>2672.67</v>
      </c>
      <c r="D16" s="13">
        <v>0</v>
      </c>
      <c r="E16" s="14">
        <f t="shared" si="0"/>
        <v>2672.67</v>
      </c>
      <c r="F16" s="13">
        <f t="shared" si="1"/>
        <v>4166.666666666667</v>
      </c>
      <c r="G16" s="13">
        <v>55072.54</v>
      </c>
      <c r="H16" s="13">
        <f t="shared" si="2"/>
        <v>50000</v>
      </c>
      <c r="I16" s="13">
        <v>50000</v>
      </c>
      <c r="J16" s="32">
        <f t="shared" si="3"/>
        <v>1.1014508000000001</v>
      </c>
    </row>
    <row r="17" spans="1:11" x14ac:dyDescent="0.2">
      <c r="A17" s="11" t="s">
        <v>10</v>
      </c>
      <c r="B17" s="13">
        <v>0</v>
      </c>
      <c r="C17" s="13">
        <v>53818.35</v>
      </c>
      <c r="D17" s="13">
        <v>0</v>
      </c>
      <c r="E17" s="14">
        <f t="shared" si="0"/>
        <v>53818.35</v>
      </c>
      <c r="F17" s="13">
        <f t="shared" si="1"/>
        <v>48666.666666666664</v>
      </c>
      <c r="G17" s="13">
        <v>613456.62</v>
      </c>
      <c r="H17" s="13">
        <f t="shared" si="2"/>
        <v>584000</v>
      </c>
      <c r="I17" s="13">
        <v>584000</v>
      </c>
      <c r="J17" s="32">
        <f t="shared" si="3"/>
        <v>1.0504394178082193</v>
      </c>
    </row>
    <row r="18" spans="1:11" x14ac:dyDescent="0.2">
      <c r="A18" s="11" t="s">
        <v>11</v>
      </c>
      <c r="B18" s="13">
        <v>0</v>
      </c>
      <c r="C18" s="13">
        <v>13468.87</v>
      </c>
      <c r="D18" s="13">
        <v>0</v>
      </c>
      <c r="E18" s="14">
        <f t="shared" si="0"/>
        <v>13468.87</v>
      </c>
      <c r="F18" s="13">
        <f t="shared" si="1"/>
        <v>4583.333333333333</v>
      </c>
      <c r="G18" s="13">
        <v>132409.04999999999</v>
      </c>
      <c r="H18" s="13">
        <f t="shared" si="2"/>
        <v>55000</v>
      </c>
      <c r="I18" s="13">
        <v>55000</v>
      </c>
      <c r="J18" s="33">
        <f t="shared" si="3"/>
        <v>2.4074372727272726</v>
      </c>
    </row>
    <row r="19" spans="1:11" x14ac:dyDescent="0.2">
      <c r="A19" s="11" t="s">
        <v>12</v>
      </c>
      <c r="B19" s="43">
        <f t="shared" ref="B19:I19" si="4">SUM(B7:B18)</f>
        <v>0</v>
      </c>
      <c r="C19" s="43">
        <f t="shared" si="4"/>
        <v>196011.04</v>
      </c>
      <c r="D19" s="44">
        <f t="shared" si="4"/>
        <v>142907.43000000002</v>
      </c>
      <c r="E19" s="43">
        <f t="shared" si="4"/>
        <v>338918.47</v>
      </c>
      <c r="F19" s="43">
        <f t="shared" si="4"/>
        <v>363791.66666666674</v>
      </c>
      <c r="G19" s="44">
        <f t="shared" si="4"/>
        <v>4473173.3299999991</v>
      </c>
      <c r="H19" s="43">
        <f>SUM(H7:H18)</f>
        <v>4365500</v>
      </c>
      <c r="I19" s="44">
        <f t="shared" si="4"/>
        <v>4365500</v>
      </c>
      <c r="J19" s="37">
        <f t="shared" si="3"/>
        <v>1.024664604283587</v>
      </c>
      <c r="K19" s="2"/>
    </row>
    <row r="20" spans="1:11" x14ac:dyDescent="0.2">
      <c r="A20" s="11"/>
    </row>
    <row r="21" spans="1:11" x14ac:dyDescent="0.2">
      <c r="B21" s="42" t="s">
        <v>57</v>
      </c>
      <c r="C21" s="45" t="s">
        <v>58</v>
      </c>
      <c r="D21" s="41" t="s">
        <v>59</v>
      </c>
      <c r="E21" s="42" t="s">
        <v>60</v>
      </c>
      <c r="F21" s="41" t="s">
        <v>61</v>
      </c>
      <c r="G21" s="41" t="s">
        <v>62</v>
      </c>
      <c r="H21" s="41" t="s">
        <v>62</v>
      </c>
      <c r="I21" s="41" t="s">
        <v>63</v>
      </c>
      <c r="J21" s="16">
        <f>+J4</f>
        <v>1</v>
      </c>
    </row>
    <row r="22" spans="1:11" x14ac:dyDescent="0.2">
      <c r="A22" s="11"/>
      <c r="B22" s="42"/>
      <c r="C22" s="45"/>
      <c r="D22" s="41"/>
      <c r="E22" s="42" t="s">
        <v>68</v>
      </c>
      <c r="F22" s="41" t="s">
        <v>65</v>
      </c>
      <c r="G22" s="41" t="s">
        <v>68</v>
      </c>
      <c r="H22" s="41" t="s">
        <v>67</v>
      </c>
      <c r="I22" s="41" t="s">
        <v>67</v>
      </c>
      <c r="J22" s="17" t="s">
        <v>65</v>
      </c>
    </row>
    <row r="23" spans="1:11" x14ac:dyDescent="0.2">
      <c r="A23" s="11" t="s">
        <v>13</v>
      </c>
      <c r="B23" s="42"/>
      <c r="C23" s="45"/>
      <c r="D23" s="41"/>
      <c r="E23" s="42"/>
      <c r="F23" s="41"/>
      <c r="G23" s="41"/>
      <c r="H23" s="41"/>
      <c r="I23" s="41"/>
      <c r="J23" s="17" t="s">
        <v>75</v>
      </c>
    </row>
    <row r="24" spans="1:11" x14ac:dyDescent="0.2">
      <c r="A24" s="11" t="s">
        <v>14</v>
      </c>
      <c r="B24" s="13">
        <v>23047.68</v>
      </c>
      <c r="C24" s="13">
        <v>38028.51</v>
      </c>
      <c r="D24" s="13">
        <v>12145.6</v>
      </c>
      <c r="E24" s="14">
        <f t="shared" ref="E24:E36" si="5">SUM(B24:D24)</f>
        <v>73221.790000000008</v>
      </c>
      <c r="F24" s="13">
        <f t="shared" ref="F24:F36" si="6">I24/12</f>
        <v>85833.333333333328</v>
      </c>
      <c r="G24" s="13">
        <v>1086692.5</v>
      </c>
      <c r="H24" s="13">
        <f t="shared" ref="H24:H36" si="7">F24*12</f>
        <v>1030000</v>
      </c>
      <c r="I24" s="13">
        <v>1030000</v>
      </c>
      <c r="J24" s="34">
        <f t="shared" ref="J24:J36" si="8">+G24/I24</f>
        <v>1.0550412621359224</v>
      </c>
    </row>
    <row r="25" spans="1:11" x14ac:dyDescent="0.2">
      <c r="A25" s="11" t="s">
        <v>15</v>
      </c>
      <c r="B25" s="13">
        <v>1851.17</v>
      </c>
      <c r="C25" s="13">
        <v>3240.33</v>
      </c>
      <c r="D25" s="13">
        <v>981.77</v>
      </c>
      <c r="E25" s="14">
        <f t="shared" si="5"/>
        <v>6073.27</v>
      </c>
      <c r="F25" s="13">
        <f t="shared" si="6"/>
        <v>6666.666666666667</v>
      </c>
      <c r="G25" s="13">
        <v>90685.14</v>
      </c>
      <c r="H25" s="13">
        <f t="shared" si="7"/>
        <v>80000</v>
      </c>
      <c r="I25" s="13">
        <v>80000</v>
      </c>
      <c r="J25" s="34">
        <f t="shared" si="8"/>
        <v>1.1335642500000001</v>
      </c>
    </row>
    <row r="26" spans="1:11" x14ac:dyDescent="0.2">
      <c r="A26" s="11" t="s">
        <v>16</v>
      </c>
      <c r="B26" s="13">
        <v>0</v>
      </c>
      <c r="C26" s="13">
        <v>0</v>
      </c>
      <c r="D26" s="13">
        <v>0</v>
      </c>
      <c r="E26" s="14">
        <f t="shared" si="5"/>
        <v>0</v>
      </c>
      <c r="F26" s="13">
        <f t="shared" si="6"/>
        <v>625</v>
      </c>
      <c r="G26" s="13">
        <f t="shared" ref="G26:G35" si="9">E26</f>
        <v>0</v>
      </c>
      <c r="H26" s="13">
        <f t="shared" si="7"/>
        <v>7500</v>
      </c>
      <c r="I26" s="13">
        <v>7500</v>
      </c>
      <c r="J26" s="34">
        <f t="shared" si="8"/>
        <v>0</v>
      </c>
    </row>
    <row r="27" spans="1:11" x14ac:dyDescent="0.2">
      <c r="A27" s="11" t="s">
        <v>17</v>
      </c>
      <c r="B27" s="13">
        <v>1413.92</v>
      </c>
      <c r="C27" s="13">
        <v>845.6</v>
      </c>
      <c r="D27" s="13">
        <v>804.64</v>
      </c>
      <c r="E27" s="14">
        <f t="shared" si="5"/>
        <v>3064.16</v>
      </c>
      <c r="F27" s="13">
        <f t="shared" si="6"/>
        <v>3600</v>
      </c>
      <c r="G27" s="13">
        <v>39971.56</v>
      </c>
      <c r="H27" s="13">
        <f t="shared" si="7"/>
        <v>43200</v>
      </c>
      <c r="I27" s="13">
        <v>43200</v>
      </c>
      <c r="J27" s="34">
        <f t="shared" si="8"/>
        <v>0.9252675925925925</v>
      </c>
    </row>
    <row r="28" spans="1:11" x14ac:dyDescent="0.2">
      <c r="A28" s="11" t="s">
        <v>18</v>
      </c>
      <c r="B28" s="13">
        <v>0</v>
      </c>
      <c r="C28" s="13">
        <v>0</v>
      </c>
      <c r="D28" s="13">
        <v>0</v>
      </c>
      <c r="E28" s="14">
        <f t="shared" si="5"/>
        <v>0</v>
      </c>
      <c r="F28" s="13">
        <f t="shared" si="6"/>
        <v>8750</v>
      </c>
      <c r="G28" s="13">
        <v>105312.99</v>
      </c>
      <c r="H28" s="13">
        <f t="shared" si="7"/>
        <v>105000</v>
      </c>
      <c r="I28" s="13">
        <v>105000</v>
      </c>
      <c r="J28" s="34">
        <f t="shared" si="8"/>
        <v>1.0029808571428571</v>
      </c>
    </row>
    <row r="29" spans="1:11" x14ac:dyDescent="0.2">
      <c r="A29" s="11" t="s">
        <v>19</v>
      </c>
      <c r="B29" s="13">
        <v>0</v>
      </c>
      <c r="C29" s="13">
        <v>0</v>
      </c>
      <c r="D29" s="13">
        <v>0</v>
      </c>
      <c r="E29" s="14">
        <f t="shared" si="5"/>
        <v>0</v>
      </c>
      <c r="F29" s="13">
        <f t="shared" si="6"/>
        <v>833.33333333333337</v>
      </c>
      <c r="G29" s="13">
        <f t="shared" si="9"/>
        <v>0</v>
      </c>
      <c r="H29" s="13">
        <f t="shared" si="7"/>
        <v>10000</v>
      </c>
      <c r="I29" s="13">
        <f>10000</f>
        <v>10000</v>
      </c>
      <c r="J29" s="34">
        <f t="shared" si="8"/>
        <v>0</v>
      </c>
    </row>
    <row r="30" spans="1:11" x14ac:dyDescent="0.2">
      <c r="A30" s="11" t="s">
        <v>20</v>
      </c>
      <c r="B30" s="13">
        <v>2833.33</v>
      </c>
      <c r="C30" s="13">
        <v>2833.33</v>
      </c>
      <c r="D30" s="13">
        <v>2833.34</v>
      </c>
      <c r="E30" s="14">
        <f t="shared" si="5"/>
        <v>8500</v>
      </c>
      <c r="F30" s="13">
        <f t="shared" si="6"/>
        <v>2083.3333333333335</v>
      </c>
      <c r="G30" s="13">
        <v>23045</v>
      </c>
      <c r="H30" s="13">
        <f t="shared" si="7"/>
        <v>25000</v>
      </c>
      <c r="I30" s="13">
        <v>25000</v>
      </c>
      <c r="J30" s="34">
        <f t="shared" si="8"/>
        <v>0.92179999999999995</v>
      </c>
    </row>
    <row r="31" spans="1:11" x14ac:dyDescent="0.2">
      <c r="A31" s="11" t="s">
        <v>21</v>
      </c>
      <c r="B31" s="13">
        <v>0</v>
      </c>
      <c r="C31" s="13">
        <v>0</v>
      </c>
      <c r="D31" s="13">
        <v>2098.8000000000002</v>
      </c>
      <c r="E31" s="14">
        <f t="shared" si="5"/>
        <v>2098.8000000000002</v>
      </c>
      <c r="F31" s="13">
        <f t="shared" si="6"/>
        <v>1750</v>
      </c>
      <c r="G31" s="13">
        <v>17737.72</v>
      </c>
      <c r="H31" s="13">
        <f t="shared" si="7"/>
        <v>21000</v>
      </c>
      <c r="I31" s="13">
        <v>21000</v>
      </c>
      <c r="J31" s="34">
        <f t="shared" si="8"/>
        <v>0.84465333333333337</v>
      </c>
    </row>
    <row r="32" spans="1:11" x14ac:dyDescent="0.2">
      <c r="A32" s="11" t="s">
        <v>22</v>
      </c>
      <c r="B32" s="13">
        <v>0</v>
      </c>
      <c r="C32" s="13">
        <v>782.97</v>
      </c>
      <c r="D32" s="13">
        <v>750.76</v>
      </c>
      <c r="E32" s="14">
        <f t="shared" si="5"/>
        <v>1533.73</v>
      </c>
      <c r="F32" s="13">
        <f t="shared" si="6"/>
        <v>2666.6666666666665</v>
      </c>
      <c r="G32" s="13">
        <v>23913.5</v>
      </c>
      <c r="H32" s="13">
        <f t="shared" si="7"/>
        <v>32000</v>
      </c>
      <c r="I32" s="13">
        <v>32000</v>
      </c>
      <c r="J32" s="34">
        <f t="shared" si="8"/>
        <v>0.74729687499999997</v>
      </c>
    </row>
    <row r="33" spans="1:19" x14ac:dyDescent="0.2">
      <c r="A33" s="11" t="s">
        <v>23</v>
      </c>
      <c r="B33" s="13">
        <v>143.06</v>
      </c>
      <c r="C33" s="13">
        <v>5199.63</v>
      </c>
      <c r="D33" s="13">
        <v>5041.1499999999996</v>
      </c>
      <c r="E33" s="13">
        <f t="shared" si="5"/>
        <v>10383.84</v>
      </c>
      <c r="F33" s="13">
        <f t="shared" si="6"/>
        <v>10833.333333333334</v>
      </c>
      <c r="G33" s="13">
        <v>108089.16</v>
      </c>
      <c r="H33" s="13">
        <f t="shared" si="7"/>
        <v>130000</v>
      </c>
      <c r="I33" s="13">
        <v>130000</v>
      </c>
      <c r="J33" s="34">
        <f t="shared" si="8"/>
        <v>0.83145507692307696</v>
      </c>
    </row>
    <row r="34" spans="1:19" x14ac:dyDescent="0.2">
      <c r="A34" s="11" t="s">
        <v>24</v>
      </c>
      <c r="B34" s="13">
        <v>0</v>
      </c>
      <c r="C34" s="13">
        <v>0</v>
      </c>
      <c r="D34" s="13">
        <v>0</v>
      </c>
      <c r="E34" s="14">
        <f t="shared" si="5"/>
        <v>0</v>
      </c>
      <c r="F34" s="13">
        <f t="shared" si="6"/>
        <v>1666.6666666666667</v>
      </c>
      <c r="G34" s="13">
        <v>2040.26</v>
      </c>
      <c r="H34" s="13">
        <f t="shared" si="7"/>
        <v>20000</v>
      </c>
      <c r="I34" s="13">
        <v>20000</v>
      </c>
      <c r="J34" s="34">
        <f t="shared" si="8"/>
        <v>0.10201300000000001</v>
      </c>
    </row>
    <row r="35" spans="1:19" ht="13.5" customHeight="1" x14ac:dyDescent="0.2">
      <c r="A35" s="11" t="s">
        <v>25</v>
      </c>
      <c r="B35" s="13">
        <v>0</v>
      </c>
      <c r="C35" s="13">
        <v>0</v>
      </c>
      <c r="D35" s="13">
        <v>0</v>
      </c>
      <c r="E35" s="14">
        <f t="shared" si="5"/>
        <v>0</v>
      </c>
      <c r="F35" s="13">
        <f t="shared" si="6"/>
        <v>250</v>
      </c>
      <c r="G35" s="13">
        <f t="shared" si="9"/>
        <v>0</v>
      </c>
      <c r="H35" s="13">
        <f t="shared" si="7"/>
        <v>3000</v>
      </c>
      <c r="I35" s="13">
        <f>1500+1500</f>
        <v>3000</v>
      </c>
      <c r="J35" s="34">
        <f t="shared" si="8"/>
        <v>0</v>
      </c>
    </row>
    <row r="36" spans="1:19" x14ac:dyDescent="0.2">
      <c r="A36" s="11" t="s">
        <v>26</v>
      </c>
      <c r="B36" s="13">
        <v>0</v>
      </c>
      <c r="C36" s="13">
        <v>0</v>
      </c>
      <c r="D36" s="13">
        <v>0</v>
      </c>
      <c r="E36" s="14">
        <f t="shared" si="5"/>
        <v>0</v>
      </c>
      <c r="F36" s="13">
        <f t="shared" si="6"/>
        <v>29166.666666666668</v>
      </c>
      <c r="G36" s="13">
        <v>213566.82</v>
      </c>
      <c r="H36" s="13">
        <f t="shared" si="7"/>
        <v>350000</v>
      </c>
      <c r="I36" s="13">
        <v>350000</v>
      </c>
      <c r="J36" s="34">
        <f t="shared" si="8"/>
        <v>0.61019091428571426</v>
      </c>
    </row>
    <row r="37" spans="1:19" x14ac:dyDescent="0.2">
      <c r="A37" s="11"/>
      <c r="B37" s="14"/>
      <c r="C37" s="13"/>
      <c r="D37" s="13"/>
      <c r="E37" s="14"/>
      <c r="F37" s="13"/>
      <c r="G37" s="13"/>
      <c r="H37" s="13"/>
      <c r="I37" s="13"/>
    </row>
    <row r="38" spans="1:19" x14ac:dyDescent="0.2">
      <c r="B38" s="42" t="s">
        <v>57</v>
      </c>
      <c r="C38" s="46" t="s">
        <v>58</v>
      </c>
      <c r="D38" s="41" t="s">
        <v>59</v>
      </c>
      <c r="E38" s="42" t="s">
        <v>60</v>
      </c>
      <c r="F38" s="41" t="s">
        <v>61</v>
      </c>
      <c r="G38" s="41" t="s">
        <v>62</v>
      </c>
      <c r="H38" s="41" t="s">
        <v>62</v>
      </c>
      <c r="I38" s="41" t="s">
        <v>63</v>
      </c>
      <c r="J38" s="16">
        <f>+J4</f>
        <v>1</v>
      </c>
      <c r="K38" s="1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1"/>
      <c r="B39" s="42"/>
      <c r="C39" s="46"/>
      <c r="D39" s="41"/>
      <c r="E39" s="42" t="s">
        <v>68</v>
      </c>
      <c r="F39" s="41" t="s">
        <v>65</v>
      </c>
      <c r="G39" s="41" t="s">
        <v>68</v>
      </c>
      <c r="H39" s="41" t="s">
        <v>67</v>
      </c>
      <c r="I39" s="41" t="s">
        <v>67</v>
      </c>
      <c r="J39" s="17" t="s">
        <v>65</v>
      </c>
      <c r="K39" s="1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1" t="s">
        <v>13</v>
      </c>
      <c r="B40" s="42"/>
      <c r="C40" s="46"/>
      <c r="D40" s="41"/>
      <c r="E40" s="42"/>
      <c r="F40" s="41"/>
      <c r="G40" s="41"/>
      <c r="H40" s="41"/>
      <c r="I40" s="41"/>
      <c r="J40" s="17" t="s">
        <v>75</v>
      </c>
      <c r="K40" s="1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11" t="s">
        <v>27</v>
      </c>
      <c r="B41" s="6">
        <v>3762.07</v>
      </c>
      <c r="C41" s="6">
        <v>8910.24</v>
      </c>
      <c r="D41" s="6">
        <v>5797.74</v>
      </c>
      <c r="E41" s="14">
        <f t="shared" ref="E41:E67" si="10">SUM(B41:D41)</f>
        <v>18470.05</v>
      </c>
      <c r="F41" s="6">
        <f t="shared" ref="F41:F43" si="11">I41/12</f>
        <v>16500</v>
      </c>
      <c r="G41" s="6">
        <v>209451.4</v>
      </c>
      <c r="H41" s="13">
        <f t="shared" ref="H41:H67" si="12">F41*12</f>
        <v>198000</v>
      </c>
      <c r="I41" s="6">
        <v>198000</v>
      </c>
      <c r="J41" s="34">
        <f t="shared" ref="J41:J68" si="13">+G41/I41</f>
        <v>1.0578353535353535</v>
      </c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1" t="s">
        <v>28</v>
      </c>
      <c r="B42" s="13">
        <v>0</v>
      </c>
      <c r="C42" s="13">
        <v>0</v>
      </c>
      <c r="D42" s="13">
        <v>0</v>
      </c>
      <c r="E42" s="14">
        <f t="shared" si="10"/>
        <v>0</v>
      </c>
      <c r="F42" s="13">
        <f t="shared" si="11"/>
        <v>25520.833333333332</v>
      </c>
      <c r="G42" s="13">
        <v>293242</v>
      </c>
      <c r="H42" s="13">
        <f t="shared" si="12"/>
        <v>306250</v>
      </c>
      <c r="I42" s="13">
        <v>306250</v>
      </c>
      <c r="J42" s="34">
        <f t="shared" si="13"/>
        <v>0.95752489795918372</v>
      </c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29</v>
      </c>
      <c r="B43" s="13">
        <v>0</v>
      </c>
      <c r="C43" s="13">
        <v>0</v>
      </c>
      <c r="D43" s="13">
        <v>0</v>
      </c>
      <c r="E43" s="14">
        <f t="shared" si="10"/>
        <v>0</v>
      </c>
      <c r="F43" s="13">
        <f t="shared" si="11"/>
        <v>416.66666666666669</v>
      </c>
      <c r="G43" s="13">
        <v>1921.95</v>
      </c>
      <c r="H43" s="13">
        <f t="shared" si="12"/>
        <v>5000</v>
      </c>
      <c r="I43" s="13">
        <f>2500+2500</f>
        <v>5000</v>
      </c>
      <c r="J43" s="34">
        <f t="shared" si="13"/>
        <v>0.38439000000000001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 t="s">
        <v>30</v>
      </c>
      <c r="B44" s="13">
        <v>0</v>
      </c>
      <c r="C44" s="13">
        <v>370.98</v>
      </c>
      <c r="D44" s="13">
        <v>365.99</v>
      </c>
      <c r="E44" s="14">
        <f t="shared" si="10"/>
        <v>736.97</v>
      </c>
      <c r="F44" s="13">
        <f>I44/12</f>
        <v>1333.3333333333333</v>
      </c>
      <c r="G44" s="13">
        <v>20851.169999999998</v>
      </c>
      <c r="H44" s="13">
        <f t="shared" si="12"/>
        <v>16000</v>
      </c>
      <c r="I44" s="13">
        <f>8000+8000</f>
        <v>16000</v>
      </c>
      <c r="J44" s="34">
        <f t="shared" si="13"/>
        <v>1.303198125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 t="s">
        <v>32</v>
      </c>
      <c r="B45" s="13">
        <v>0</v>
      </c>
      <c r="C45" s="13">
        <v>0</v>
      </c>
      <c r="D45" s="13">
        <v>0</v>
      </c>
      <c r="E45" s="14">
        <f t="shared" si="10"/>
        <v>0</v>
      </c>
      <c r="F45" s="13">
        <f t="shared" ref="F45:F67" si="14">I45/12</f>
        <v>6500</v>
      </c>
      <c r="G45" s="13">
        <v>0</v>
      </c>
      <c r="H45" s="13">
        <f t="shared" si="12"/>
        <v>78000</v>
      </c>
      <c r="I45" s="13">
        <v>78000</v>
      </c>
      <c r="J45" s="34">
        <f t="shared" si="13"/>
        <v>0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33</v>
      </c>
      <c r="B46" s="13">
        <v>0</v>
      </c>
      <c r="C46" s="13">
        <v>0</v>
      </c>
      <c r="D46" s="13">
        <v>0</v>
      </c>
      <c r="E46" s="14">
        <f t="shared" si="10"/>
        <v>0</v>
      </c>
      <c r="F46" s="13">
        <f t="shared" si="14"/>
        <v>750</v>
      </c>
      <c r="G46" s="13">
        <v>3082.79</v>
      </c>
      <c r="H46" s="13">
        <f t="shared" si="12"/>
        <v>9000</v>
      </c>
      <c r="I46" s="13">
        <v>9000</v>
      </c>
      <c r="J46" s="34">
        <f t="shared" si="13"/>
        <v>0.34253222222222224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34</v>
      </c>
      <c r="B47" s="13">
        <v>0</v>
      </c>
      <c r="C47" s="13">
        <v>193.68</v>
      </c>
      <c r="D47" s="13">
        <v>245.06</v>
      </c>
      <c r="E47" s="13">
        <f t="shared" si="10"/>
        <v>438.74</v>
      </c>
      <c r="F47" s="13">
        <f t="shared" si="14"/>
        <v>1250</v>
      </c>
      <c r="G47" s="13">
        <v>13258.13</v>
      </c>
      <c r="H47" s="13">
        <f t="shared" si="12"/>
        <v>15000</v>
      </c>
      <c r="I47" s="13">
        <v>15000</v>
      </c>
      <c r="J47" s="34">
        <f t="shared" si="13"/>
        <v>0.88387533333333324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35</v>
      </c>
      <c r="B48" s="13">
        <v>0</v>
      </c>
      <c r="C48" s="13">
        <v>13643.24</v>
      </c>
      <c r="D48" s="13">
        <v>1889.66</v>
      </c>
      <c r="E48" s="14">
        <f t="shared" si="10"/>
        <v>15532.9</v>
      </c>
      <c r="F48" s="13">
        <f t="shared" si="14"/>
        <v>13750</v>
      </c>
      <c r="G48" s="13">
        <v>96212.77</v>
      </c>
      <c r="H48" s="13">
        <f t="shared" si="12"/>
        <v>165000</v>
      </c>
      <c r="I48" s="13">
        <v>165000</v>
      </c>
      <c r="J48" s="34">
        <f t="shared" si="13"/>
        <v>0.583107696969697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36</v>
      </c>
      <c r="B49" s="13">
        <v>0</v>
      </c>
      <c r="C49" s="13">
        <v>71430.929999999993</v>
      </c>
      <c r="D49" s="13">
        <v>0</v>
      </c>
      <c r="E49" s="14">
        <f t="shared" si="10"/>
        <v>71430.929999999993</v>
      </c>
      <c r="F49" s="13">
        <f t="shared" si="14"/>
        <v>91666.666666666672</v>
      </c>
      <c r="G49" s="13">
        <v>1067422.01</v>
      </c>
      <c r="H49" s="13">
        <f t="shared" si="12"/>
        <v>1100000</v>
      </c>
      <c r="I49" s="13">
        <v>1100000</v>
      </c>
      <c r="J49" s="34">
        <f t="shared" si="13"/>
        <v>0.97038364545454547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37</v>
      </c>
      <c r="B50" s="13">
        <v>0</v>
      </c>
      <c r="C50" s="13">
        <v>484.73</v>
      </c>
      <c r="D50" s="13">
        <v>0</v>
      </c>
      <c r="E50" s="14">
        <f t="shared" si="10"/>
        <v>484.73</v>
      </c>
      <c r="F50" s="13">
        <f t="shared" si="14"/>
        <v>875</v>
      </c>
      <c r="G50" s="13">
        <v>6976.2</v>
      </c>
      <c r="H50" s="13">
        <f t="shared" si="12"/>
        <v>10500</v>
      </c>
      <c r="I50" s="13">
        <v>10500</v>
      </c>
      <c r="J50" s="34">
        <f t="shared" si="13"/>
        <v>0.66439999999999999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38</v>
      </c>
      <c r="B51" s="13">
        <v>0</v>
      </c>
      <c r="C51" s="13">
        <v>8720.5</v>
      </c>
      <c r="D51" s="13">
        <v>0</v>
      </c>
      <c r="E51" s="14">
        <f t="shared" si="10"/>
        <v>8720.5</v>
      </c>
      <c r="F51" s="13">
        <f t="shared" si="14"/>
        <v>3333.3333333333335</v>
      </c>
      <c r="G51" s="13">
        <v>90744.75</v>
      </c>
      <c r="H51" s="13">
        <f t="shared" si="12"/>
        <v>40000</v>
      </c>
      <c r="I51" s="13">
        <v>40000</v>
      </c>
      <c r="J51" s="34">
        <f t="shared" si="13"/>
        <v>2.2686187499999999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39</v>
      </c>
      <c r="B52" s="13">
        <v>0</v>
      </c>
      <c r="C52" s="13">
        <v>3805.94</v>
      </c>
      <c r="D52" s="13">
        <v>0</v>
      </c>
      <c r="E52" s="14">
        <f t="shared" si="10"/>
        <v>3805.94</v>
      </c>
      <c r="F52" s="13">
        <f t="shared" si="14"/>
        <v>625</v>
      </c>
      <c r="G52" s="13">
        <v>16929.400000000001</v>
      </c>
      <c r="H52" s="13">
        <f t="shared" si="12"/>
        <v>7500</v>
      </c>
      <c r="I52" s="13">
        <v>7500</v>
      </c>
      <c r="J52" s="34">
        <f t="shared" si="13"/>
        <v>2.2572533333333333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40</v>
      </c>
      <c r="B53" s="13">
        <v>2659</v>
      </c>
      <c r="C53" s="13">
        <v>125.24</v>
      </c>
      <c r="D53" s="13">
        <v>111.99</v>
      </c>
      <c r="E53" s="14">
        <f t="shared" si="10"/>
        <v>2896.2299999999996</v>
      </c>
      <c r="F53" s="13">
        <f t="shared" si="14"/>
        <v>875</v>
      </c>
      <c r="G53" s="13">
        <v>10572.58</v>
      </c>
      <c r="H53" s="13">
        <f t="shared" si="12"/>
        <v>10500</v>
      </c>
      <c r="I53" s="13">
        <v>10500</v>
      </c>
      <c r="J53" s="34">
        <f t="shared" si="13"/>
        <v>1.006912380952381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41</v>
      </c>
      <c r="B54" s="13">
        <v>790.29</v>
      </c>
      <c r="C54" s="13">
        <v>686.81</v>
      </c>
      <c r="D54" s="13">
        <v>24.41</v>
      </c>
      <c r="E54" s="14">
        <f t="shared" si="10"/>
        <v>1501.51</v>
      </c>
      <c r="F54" s="13">
        <f t="shared" si="14"/>
        <v>2500</v>
      </c>
      <c r="G54" s="13">
        <v>42798.42</v>
      </c>
      <c r="H54" s="13">
        <f t="shared" si="12"/>
        <v>30000</v>
      </c>
      <c r="I54" s="13">
        <v>30000</v>
      </c>
      <c r="J54" s="34">
        <f t="shared" si="13"/>
        <v>1.426614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42</v>
      </c>
      <c r="B55" s="13">
        <v>0</v>
      </c>
      <c r="C55" s="13">
        <v>6369.44</v>
      </c>
      <c r="D55" s="13">
        <v>0</v>
      </c>
      <c r="E55" s="14">
        <f t="shared" si="10"/>
        <v>6369.44</v>
      </c>
      <c r="F55" s="13">
        <f t="shared" si="14"/>
        <v>13333.333333333334</v>
      </c>
      <c r="G55" s="13">
        <v>116301.9</v>
      </c>
      <c r="H55" s="13">
        <f t="shared" si="12"/>
        <v>160000</v>
      </c>
      <c r="I55" s="13">
        <v>160000</v>
      </c>
      <c r="J55" s="34">
        <f t="shared" si="13"/>
        <v>0.72688687499999993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43</v>
      </c>
      <c r="B56" s="13">
        <v>0</v>
      </c>
      <c r="C56" s="13">
        <v>6070.01</v>
      </c>
      <c r="D56" s="13">
        <v>0</v>
      </c>
      <c r="E56" s="14">
        <f t="shared" si="10"/>
        <v>6070.01</v>
      </c>
      <c r="F56" s="13">
        <f t="shared" si="14"/>
        <v>3333.3333333333335</v>
      </c>
      <c r="G56" s="13">
        <v>60276.2</v>
      </c>
      <c r="H56" s="13">
        <f t="shared" si="12"/>
        <v>40000</v>
      </c>
      <c r="I56" s="13">
        <v>40000</v>
      </c>
      <c r="J56" s="34">
        <f t="shared" si="13"/>
        <v>1.5069049999999999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44</v>
      </c>
      <c r="B57" s="13">
        <v>0</v>
      </c>
      <c r="C57" s="13">
        <v>0</v>
      </c>
      <c r="D57" s="13">
        <v>0</v>
      </c>
      <c r="E57" s="14">
        <f t="shared" si="10"/>
        <v>0</v>
      </c>
      <c r="F57" s="13">
        <f t="shared" si="14"/>
        <v>1583.3333333333333</v>
      </c>
      <c r="G57" s="13">
        <v>22802</v>
      </c>
      <c r="H57" s="13">
        <f t="shared" si="12"/>
        <v>19000</v>
      </c>
      <c r="I57" s="13">
        <v>19000</v>
      </c>
      <c r="J57" s="34">
        <f t="shared" si="13"/>
        <v>1.2001052631578948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45</v>
      </c>
      <c r="B58" s="13">
        <v>0</v>
      </c>
      <c r="C58" s="13">
        <v>11372.49</v>
      </c>
      <c r="D58" s="13">
        <v>0</v>
      </c>
      <c r="E58" s="14">
        <f t="shared" si="10"/>
        <v>11372.49</v>
      </c>
      <c r="F58" s="13">
        <f t="shared" si="14"/>
        <v>1416.6666666666667</v>
      </c>
      <c r="G58" s="13">
        <v>31455.919999999998</v>
      </c>
      <c r="H58" s="13">
        <f t="shared" si="12"/>
        <v>17000</v>
      </c>
      <c r="I58" s="13">
        <v>17000</v>
      </c>
      <c r="J58" s="34">
        <f t="shared" si="13"/>
        <v>1.8503482352941176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46</v>
      </c>
      <c r="B59" s="13">
        <v>4857.67</v>
      </c>
      <c r="C59" s="13">
        <v>0</v>
      </c>
      <c r="D59" s="13">
        <v>0</v>
      </c>
      <c r="E59" s="14">
        <f t="shared" si="10"/>
        <v>4857.67</v>
      </c>
      <c r="F59" s="13">
        <f t="shared" si="14"/>
        <v>1666.6666666666667</v>
      </c>
      <c r="G59" s="13">
        <v>16016.78</v>
      </c>
      <c r="H59" s="13">
        <f t="shared" si="12"/>
        <v>20000</v>
      </c>
      <c r="I59" s="13">
        <v>20000</v>
      </c>
      <c r="J59" s="34">
        <f t="shared" si="13"/>
        <v>0.80083900000000008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47</v>
      </c>
      <c r="B60" s="13">
        <v>11251.31</v>
      </c>
      <c r="C60" s="13">
        <v>0</v>
      </c>
      <c r="D60" s="13">
        <v>0</v>
      </c>
      <c r="E60" s="14">
        <f t="shared" si="10"/>
        <v>11251.31</v>
      </c>
      <c r="F60" s="13">
        <f t="shared" si="14"/>
        <v>12541.666666666666</v>
      </c>
      <c r="G60" s="13">
        <v>148361.41</v>
      </c>
      <c r="H60" s="13">
        <f t="shared" si="12"/>
        <v>150500</v>
      </c>
      <c r="I60" s="13">
        <v>150500</v>
      </c>
      <c r="J60" s="34">
        <f t="shared" si="13"/>
        <v>0.98579009966777409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48</v>
      </c>
      <c r="B61" s="13">
        <v>0</v>
      </c>
      <c r="C61" s="13">
        <v>0</v>
      </c>
      <c r="D61" s="13">
        <v>0</v>
      </c>
      <c r="E61" s="14">
        <f t="shared" si="10"/>
        <v>0</v>
      </c>
      <c r="F61" s="13">
        <f t="shared" si="14"/>
        <v>83.333333333333329</v>
      </c>
      <c r="G61" s="13">
        <v>240</v>
      </c>
      <c r="H61" s="13">
        <f t="shared" si="12"/>
        <v>1000</v>
      </c>
      <c r="I61" s="13">
        <v>1000</v>
      </c>
      <c r="J61" s="34">
        <f t="shared" si="13"/>
        <v>0.24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49</v>
      </c>
      <c r="B62" s="13">
        <v>368</v>
      </c>
      <c r="C62" s="13">
        <v>0</v>
      </c>
      <c r="D62" s="13">
        <v>0</v>
      </c>
      <c r="E62" s="14">
        <f t="shared" si="10"/>
        <v>368</v>
      </c>
      <c r="F62" s="13">
        <f t="shared" si="14"/>
        <v>208.33333333333334</v>
      </c>
      <c r="G62" s="13">
        <v>2042.61</v>
      </c>
      <c r="H62" s="13">
        <f t="shared" si="12"/>
        <v>2500</v>
      </c>
      <c r="I62" s="13">
        <v>2500</v>
      </c>
      <c r="J62" s="34">
        <f t="shared" si="13"/>
        <v>0.81704399999999999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50</v>
      </c>
      <c r="B63" s="13">
        <v>0</v>
      </c>
      <c r="C63" s="13">
        <v>0</v>
      </c>
      <c r="D63" s="13">
        <v>0</v>
      </c>
      <c r="E63" s="14">
        <f t="shared" si="10"/>
        <v>0</v>
      </c>
      <c r="F63" s="13">
        <f t="shared" si="14"/>
        <v>2500</v>
      </c>
      <c r="G63" s="13">
        <v>23190.5</v>
      </c>
      <c r="H63" s="13">
        <f t="shared" si="12"/>
        <v>30000</v>
      </c>
      <c r="I63" s="13">
        <v>30000</v>
      </c>
      <c r="J63" s="34">
        <f t="shared" si="13"/>
        <v>0.77301666666666669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52</v>
      </c>
      <c r="B64" s="13">
        <v>0</v>
      </c>
      <c r="C64" s="13">
        <v>3372.52</v>
      </c>
      <c r="D64" s="13">
        <v>0</v>
      </c>
      <c r="E64" s="14">
        <f t="shared" si="10"/>
        <v>3372.52</v>
      </c>
      <c r="F64" s="13">
        <f t="shared" si="14"/>
        <v>4000</v>
      </c>
      <c r="G64" s="13">
        <v>52440.08</v>
      </c>
      <c r="H64" s="13">
        <f t="shared" si="12"/>
        <v>48000</v>
      </c>
      <c r="I64" s="13">
        <v>48000</v>
      </c>
      <c r="J64" s="34">
        <f t="shared" si="13"/>
        <v>1.0925016666666667</v>
      </c>
      <c r="K64" s="1"/>
      <c r="L64" s="2"/>
      <c r="M64" s="2"/>
      <c r="N64" s="2"/>
      <c r="O64" s="3"/>
      <c r="Q64" s="3"/>
    </row>
    <row r="65" spans="1:10" x14ac:dyDescent="0.2">
      <c r="A65" s="11" t="s">
        <v>53</v>
      </c>
      <c r="B65" s="13">
        <v>0</v>
      </c>
      <c r="C65" s="13">
        <v>129.72999999999999</v>
      </c>
      <c r="D65" s="13">
        <v>0</v>
      </c>
      <c r="E65" s="14">
        <f t="shared" si="10"/>
        <v>129.72999999999999</v>
      </c>
      <c r="F65" s="13">
        <f t="shared" si="14"/>
        <v>833.33333333333337</v>
      </c>
      <c r="G65" s="13">
        <v>9468.82</v>
      </c>
      <c r="H65" s="13">
        <f t="shared" si="12"/>
        <v>10000</v>
      </c>
      <c r="I65" s="13">
        <v>10000</v>
      </c>
      <c r="J65" s="34">
        <f t="shared" si="13"/>
        <v>0.946882</v>
      </c>
    </row>
    <row r="66" spans="1:10" x14ac:dyDescent="0.2">
      <c r="A66" s="11" t="s">
        <v>54</v>
      </c>
      <c r="B66" s="13">
        <v>0</v>
      </c>
      <c r="C66" s="13">
        <v>0</v>
      </c>
      <c r="D66" s="13">
        <v>0</v>
      </c>
      <c r="E66" s="14">
        <f t="shared" si="10"/>
        <v>0</v>
      </c>
      <c r="F66" s="13">
        <f t="shared" si="14"/>
        <v>4.166666666666667</v>
      </c>
      <c r="G66" s="13">
        <f t="shared" ref="G66" si="15">E66</f>
        <v>0</v>
      </c>
      <c r="H66" s="13">
        <f t="shared" si="12"/>
        <v>50</v>
      </c>
      <c r="I66" s="13">
        <v>50</v>
      </c>
      <c r="J66" s="34">
        <f t="shared" si="13"/>
        <v>0</v>
      </c>
    </row>
    <row r="67" spans="1:10" x14ac:dyDescent="0.2">
      <c r="A67" s="11" t="s">
        <v>72</v>
      </c>
      <c r="B67" s="13">
        <v>0</v>
      </c>
      <c r="C67" s="13">
        <v>0</v>
      </c>
      <c r="D67" s="13">
        <v>0</v>
      </c>
      <c r="E67" s="14">
        <f t="shared" si="10"/>
        <v>0</v>
      </c>
      <c r="F67" s="13">
        <f t="shared" si="14"/>
        <v>1666.6666666666667</v>
      </c>
      <c r="G67" s="13">
        <v>5975</v>
      </c>
      <c r="H67" s="13">
        <f t="shared" si="12"/>
        <v>20000</v>
      </c>
      <c r="I67" s="13">
        <v>20000</v>
      </c>
      <c r="J67" s="33">
        <f t="shared" si="13"/>
        <v>0.29875000000000002</v>
      </c>
    </row>
    <row r="68" spans="1:10" x14ac:dyDescent="0.2">
      <c r="A68" s="11" t="s">
        <v>55</v>
      </c>
      <c r="B68" s="43">
        <f t="shared" ref="B68:H68" si="16">SUM(B24:B67)</f>
        <v>52977.5</v>
      </c>
      <c r="C68" s="43">
        <f t="shared" si="16"/>
        <v>186616.85</v>
      </c>
      <c r="D68" s="44">
        <f t="shared" si="16"/>
        <v>33090.910000000003</v>
      </c>
      <c r="E68" s="43">
        <f t="shared" si="16"/>
        <v>272685.26000000007</v>
      </c>
      <c r="F68" s="43">
        <f t="shared" si="16"/>
        <v>363791.66666666663</v>
      </c>
      <c r="G68" s="44">
        <f t="shared" si="16"/>
        <v>4073089.44</v>
      </c>
      <c r="H68" s="43">
        <f t="shared" si="16"/>
        <v>4365500</v>
      </c>
      <c r="I68" s="44">
        <f>SUM(I41:I67)+SUM(I24:I36)</f>
        <v>4365500</v>
      </c>
      <c r="J68" s="37">
        <f t="shared" si="13"/>
        <v>0.93301785362501433</v>
      </c>
    </row>
    <row r="69" spans="1:10" x14ac:dyDescent="0.2">
      <c r="B69" s="14"/>
      <c r="C69" s="14" t="s">
        <v>69</v>
      </c>
      <c r="D69" s="13"/>
      <c r="E69" s="14"/>
      <c r="F69" s="14"/>
      <c r="G69" s="13"/>
      <c r="H69" s="14"/>
      <c r="I69" s="13"/>
    </row>
    <row r="70" spans="1:10" ht="13.5" thickBot="1" x14ac:dyDescent="0.25">
      <c r="A70" s="11" t="s">
        <v>56</v>
      </c>
      <c r="B70" s="38">
        <f t="shared" ref="B70:G70" si="17">B19-B68</f>
        <v>-52977.5</v>
      </c>
      <c r="C70" s="38">
        <f t="shared" si="17"/>
        <v>9394.1900000000023</v>
      </c>
      <c r="D70" s="39">
        <f t="shared" si="17"/>
        <v>109816.52000000002</v>
      </c>
      <c r="E70" s="38">
        <f t="shared" si="17"/>
        <v>66233.209999999905</v>
      </c>
      <c r="F70" s="38">
        <f t="shared" si="17"/>
        <v>0</v>
      </c>
      <c r="G70" s="39">
        <f t="shared" si="17"/>
        <v>400083.8899999992</v>
      </c>
      <c r="H70" s="10"/>
      <c r="I70" s="12"/>
    </row>
    <row r="71" spans="1:10" ht="13.5" thickTop="1" x14ac:dyDescent="0.2"/>
    <row r="72" spans="1:10" x14ac:dyDescent="0.2">
      <c r="A72" s="52"/>
      <c r="C72" s="51"/>
    </row>
    <row r="73" spans="1:10" x14ac:dyDescent="0.2">
      <c r="B73" s="51"/>
    </row>
  </sheetData>
  <pageMargins left="0.7" right="0.7" top="0.75" bottom="0.75" header="0.3" footer="0.3"/>
  <pageSetup orientation="landscape" r:id="rId1"/>
  <rowBreaks count="1" manualBreakCount="1">
    <brk id="36" max="16383" man="1"/>
  </rowBreak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3"/>
  <sheetViews>
    <sheetView workbookViewId="0">
      <selection activeCell="K13" sqref="K13"/>
    </sheetView>
  </sheetViews>
  <sheetFormatPr defaultRowHeight="12.75" x14ac:dyDescent="0.2"/>
  <cols>
    <col min="1" max="1" width="30.140625" bestFit="1" customWidth="1"/>
    <col min="2" max="2" width="13.85546875" customWidth="1"/>
    <col min="3" max="3" width="11.7109375" bestFit="1" customWidth="1"/>
    <col min="4" max="4" width="12.5703125" bestFit="1" customWidth="1"/>
    <col min="5" max="5" width="9.85546875" bestFit="1" customWidth="1"/>
  </cols>
  <sheetData>
    <row r="1" spans="1:7" ht="15" x14ac:dyDescent="0.3">
      <c r="A1" s="19"/>
      <c r="B1" s="27" t="s">
        <v>83</v>
      </c>
      <c r="C1" s="26" t="s">
        <v>62</v>
      </c>
      <c r="D1" s="27" t="s">
        <v>77</v>
      </c>
      <c r="E1" s="27" t="s">
        <v>79</v>
      </c>
      <c r="F1" s="19"/>
      <c r="G1" s="19"/>
    </row>
    <row r="2" spans="1:7" ht="15" x14ac:dyDescent="0.3">
      <c r="A2" s="30" t="s">
        <v>82</v>
      </c>
      <c r="B2" s="27" t="s">
        <v>76</v>
      </c>
      <c r="C2" s="26" t="s">
        <v>76</v>
      </c>
      <c r="D2" s="27" t="s">
        <v>78</v>
      </c>
      <c r="E2" s="27" t="s">
        <v>80</v>
      </c>
      <c r="F2" s="19"/>
      <c r="G2" s="19"/>
    </row>
    <row r="3" spans="1:7" ht="15" x14ac:dyDescent="0.3">
      <c r="A3" s="18" t="s">
        <v>0</v>
      </c>
      <c r="B3" s="28"/>
      <c r="C3" s="29"/>
      <c r="D3" s="28" t="s">
        <v>76</v>
      </c>
      <c r="E3" s="28" t="s">
        <v>76</v>
      </c>
      <c r="F3" s="19"/>
      <c r="G3" s="19"/>
    </row>
    <row r="4" spans="1:7" ht="15" x14ac:dyDescent="0.3">
      <c r="A4" s="18" t="s">
        <v>5</v>
      </c>
      <c r="B4" s="21">
        <v>105693.94</v>
      </c>
      <c r="C4" s="21">
        <v>1199881.69</v>
      </c>
      <c r="D4" s="20">
        <f>+C4/10*12</f>
        <v>1439858.0279999999</v>
      </c>
      <c r="E4" s="19"/>
      <c r="F4" s="19"/>
      <c r="G4" s="19"/>
    </row>
    <row r="5" spans="1:7" ht="15" x14ac:dyDescent="0.3">
      <c r="A5" s="18" t="s">
        <v>6</v>
      </c>
      <c r="B5" s="21">
        <v>1043.68</v>
      </c>
      <c r="C5" s="21">
        <v>9303.92</v>
      </c>
      <c r="D5" s="20">
        <f t="shared" ref="D5:D10" si="0">+C5/10*12</f>
        <v>11164.704000000002</v>
      </c>
      <c r="E5" s="19"/>
      <c r="F5" s="19"/>
      <c r="G5" s="19"/>
    </row>
    <row r="6" spans="1:7" ht="15" x14ac:dyDescent="0.3">
      <c r="A6" s="18" t="s">
        <v>7</v>
      </c>
      <c r="B6" s="21">
        <v>17753</v>
      </c>
      <c r="C6" s="21">
        <v>170518.96</v>
      </c>
      <c r="D6" s="20">
        <f t="shared" si="0"/>
        <v>204622.75200000001</v>
      </c>
      <c r="E6" s="20">
        <f>+D6</f>
        <v>204622.75200000001</v>
      </c>
      <c r="F6" s="19"/>
      <c r="G6" s="19"/>
    </row>
    <row r="7" spans="1:7" ht="15" x14ac:dyDescent="0.3">
      <c r="A7" s="18" t="s">
        <v>8</v>
      </c>
      <c r="B7" s="21">
        <v>1081.68</v>
      </c>
      <c r="C7" s="21">
        <v>7098.24</v>
      </c>
      <c r="D7" s="20">
        <f t="shared" si="0"/>
        <v>8517.887999999999</v>
      </c>
      <c r="E7" s="20">
        <f t="shared" ref="E7:E8" si="1">+D7</f>
        <v>8517.887999999999</v>
      </c>
      <c r="F7" s="19"/>
      <c r="G7" s="19"/>
    </row>
    <row r="8" spans="1:7" ht="15" x14ac:dyDescent="0.3">
      <c r="A8" s="18" t="s">
        <v>9</v>
      </c>
      <c r="B8" s="21">
        <v>2104.67</v>
      </c>
      <c r="C8" s="21">
        <v>51659.78</v>
      </c>
      <c r="D8" s="20">
        <f t="shared" si="0"/>
        <v>61991.736000000004</v>
      </c>
      <c r="E8" s="20">
        <f t="shared" si="1"/>
        <v>61991.736000000004</v>
      </c>
      <c r="F8" s="19"/>
      <c r="G8" s="19"/>
    </row>
    <row r="9" spans="1:7" ht="15" x14ac:dyDescent="0.3">
      <c r="A9" s="18" t="s">
        <v>10</v>
      </c>
      <c r="B9" s="21">
        <v>48048.78</v>
      </c>
      <c r="C9" s="21">
        <v>483081.1</v>
      </c>
      <c r="D9" s="20">
        <f t="shared" si="0"/>
        <v>579697.32000000007</v>
      </c>
      <c r="E9" s="19"/>
      <c r="F9" s="19"/>
      <c r="G9" s="19"/>
    </row>
    <row r="10" spans="1:7" ht="15" x14ac:dyDescent="0.3">
      <c r="A10" s="18" t="s">
        <v>11</v>
      </c>
      <c r="B10" s="22">
        <v>7236.12</v>
      </c>
      <c r="C10" s="22">
        <v>51855.88</v>
      </c>
      <c r="D10" s="23">
        <f t="shared" si="0"/>
        <v>62227.055999999997</v>
      </c>
      <c r="E10" s="23">
        <f>+D10</f>
        <v>62227.055999999997</v>
      </c>
      <c r="F10" s="19"/>
      <c r="G10" s="19"/>
    </row>
    <row r="11" spans="1:7" ht="13.5" x14ac:dyDescent="0.25">
      <c r="A11" s="19"/>
      <c r="B11" s="20">
        <f>SUM(B4:B10)</f>
        <v>182961.87</v>
      </c>
      <c r="C11" s="20">
        <f>SUM(C4:C10)</f>
        <v>1973399.5699999998</v>
      </c>
      <c r="D11" s="20">
        <f>SUM(D4:D10)</f>
        <v>2368079.4840000002</v>
      </c>
      <c r="E11" s="24">
        <f>SUM(E4:E10)</f>
        <v>337359.43200000003</v>
      </c>
    </row>
    <row r="13" spans="1:7" ht="15" x14ac:dyDescent="0.3">
      <c r="B13" s="18" t="s">
        <v>81</v>
      </c>
      <c r="C13" s="1"/>
      <c r="E13" s="25">
        <f>+E11/D11</f>
        <v>0.14246119451622258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78"/>
  <sheetViews>
    <sheetView view="pageLayout" zoomScaleNormal="100" workbookViewId="0">
      <selection sqref="A1:XFD1048576"/>
    </sheetView>
  </sheetViews>
  <sheetFormatPr defaultRowHeight="12.75" x14ac:dyDescent="0.2"/>
  <cols>
    <col min="1" max="1" width="31.85546875" customWidth="1"/>
    <col min="2" max="2" width="11.7109375" customWidth="1"/>
    <col min="3" max="3" width="10.7109375" customWidth="1"/>
    <col min="4" max="4" width="11.140625" customWidth="1"/>
    <col min="5" max="5" width="10.85546875" customWidth="1"/>
    <col min="6" max="6" width="10.5703125" customWidth="1"/>
    <col min="7" max="7" width="11.42578125" customWidth="1"/>
    <col min="8" max="8" width="11.5703125" customWidth="1"/>
    <col min="9" max="9" width="12" customWidth="1"/>
  </cols>
  <sheetData>
    <row r="3" spans="1:9" x14ac:dyDescent="0.2">
      <c r="B3" s="1" t="s">
        <v>57</v>
      </c>
      <c r="C3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62</v>
      </c>
      <c r="I3" s="1" t="s">
        <v>63</v>
      </c>
    </row>
    <row r="4" spans="1:9" x14ac:dyDescent="0.2">
      <c r="B4" s="1"/>
      <c r="D4" s="1"/>
      <c r="E4" s="1" t="s">
        <v>64</v>
      </c>
      <c r="F4" s="1" t="s">
        <v>65</v>
      </c>
      <c r="G4" s="1" t="s">
        <v>66</v>
      </c>
      <c r="H4" s="1" t="s">
        <v>67</v>
      </c>
      <c r="I4" s="1" t="s">
        <v>67</v>
      </c>
    </row>
    <row r="5" spans="1:9" x14ac:dyDescent="0.2">
      <c r="A5" s="1" t="s">
        <v>0</v>
      </c>
    </row>
    <row r="6" spans="1:9" x14ac:dyDescent="0.2">
      <c r="A6" s="1" t="s">
        <v>1</v>
      </c>
      <c r="B6" s="2">
        <v>0</v>
      </c>
      <c r="C6" s="2">
        <v>0</v>
      </c>
      <c r="D6" s="2">
        <v>106983.91</v>
      </c>
      <c r="E6" s="2">
        <f>+B6+C6+D6</f>
        <v>106983.91</v>
      </c>
      <c r="F6" s="2">
        <f>I6/12</f>
        <v>110833.33333333333</v>
      </c>
      <c r="G6" s="2">
        <v>1267355.75</v>
      </c>
      <c r="H6" s="2">
        <f>F6*12</f>
        <v>1330000</v>
      </c>
      <c r="I6" s="2">
        <v>1330000</v>
      </c>
    </row>
    <row r="7" spans="1:9" x14ac:dyDescent="0.2">
      <c r="A7" s="1" t="s">
        <v>2</v>
      </c>
      <c r="B7" s="2">
        <v>0</v>
      </c>
      <c r="C7" s="2">
        <v>888.1</v>
      </c>
      <c r="D7" s="2">
        <v>3868.53</v>
      </c>
      <c r="E7" s="2">
        <f t="shared" ref="E7:E17" si="0">+B7+C7+D7</f>
        <v>4756.63</v>
      </c>
      <c r="F7" s="2">
        <f t="shared" ref="F7:F17" si="1">I7/12</f>
        <v>3750</v>
      </c>
      <c r="G7" s="2">
        <v>57543.51</v>
      </c>
      <c r="H7" s="2">
        <f t="shared" ref="H7:H17" si="2">F7*12</f>
        <v>45000</v>
      </c>
      <c r="I7" s="2">
        <v>45000</v>
      </c>
    </row>
    <row r="8" spans="1:9" x14ac:dyDescent="0.2">
      <c r="A8" s="1" t="s">
        <v>71</v>
      </c>
      <c r="B8" s="2">
        <v>0</v>
      </c>
      <c r="C8" s="2">
        <v>0</v>
      </c>
      <c r="D8" s="2">
        <v>0</v>
      </c>
      <c r="E8" s="2">
        <f t="shared" si="0"/>
        <v>0</v>
      </c>
      <c r="F8" s="2">
        <v>1166.67</v>
      </c>
      <c r="G8" s="2">
        <v>11327.15</v>
      </c>
      <c r="H8" s="2">
        <f>F8*12-0.04</f>
        <v>14000</v>
      </c>
      <c r="I8" s="2">
        <v>14000</v>
      </c>
    </row>
    <row r="9" spans="1:9" x14ac:dyDescent="0.2">
      <c r="A9" s="1" t="s">
        <v>3</v>
      </c>
      <c r="B9" s="2">
        <v>0</v>
      </c>
      <c r="C9" s="2">
        <v>0</v>
      </c>
      <c r="D9" s="2">
        <f>10186.36+279.35</f>
        <v>10465.710000000001</v>
      </c>
      <c r="E9" s="2">
        <f t="shared" si="0"/>
        <v>10465.710000000001</v>
      </c>
      <c r="F9" s="2">
        <f t="shared" si="1"/>
        <v>1000</v>
      </c>
      <c r="G9" s="2">
        <f>20180.36+4957.96</f>
        <v>25138.32</v>
      </c>
      <c r="H9" s="2">
        <f t="shared" si="2"/>
        <v>12000</v>
      </c>
      <c r="I9" s="2">
        <v>12000</v>
      </c>
    </row>
    <row r="10" spans="1:9" x14ac:dyDescent="0.2">
      <c r="A10" s="1" t="s">
        <v>4</v>
      </c>
      <c r="B10" s="2">
        <v>0</v>
      </c>
      <c r="C10" s="2">
        <v>0</v>
      </c>
      <c r="D10" s="2">
        <v>168.2</v>
      </c>
      <c r="E10" s="2">
        <f t="shared" si="0"/>
        <v>168.2</v>
      </c>
      <c r="F10" s="2">
        <f t="shared" si="1"/>
        <v>7250</v>
      </c>
      <c r="G10" s="2">
        <v>85273.38</v>
      </c>
      <c r="H10" s="2">
        <f t="shared" si="2"/>
        <v>87000</v>
      </c>
      <c r="I10" s="2">
        <v>87000</v>
      </c>
    </row>
    <row r="11" spans="1:9" x14ac:dyDescent="0.2">
      <c r="A11" s="1" t="s">
        <v>5</v>
      </c>
      <c r="B11" s="2">
        <v>0</v>
      </c>
      <c r="C11" s="2">
        <v>71430.73</v>
      </c>
      <c r="D11" s="2">
        <v>0</v>
      </c>
      <c r="E11" s="2">
        <f t="shared" si="0"/>
        <v>71430.73</v>
      </c>
      <c r="F11" s="2">
        <f t="shared" si="1"/>
        <v>129166.66666666667</v>
      </c>
      <c r="G11" s="2">
        <v>1393194.49</v>
      </c>
      <c r="H11" s="2">
        <f t="shared" si="2"/>
        <v>1550000</v>
      </c>
      <c r="I11" s="2">
        <v>1550000</v>
      </c>
    </row>
    <row r="12" spans="1:9" x14ac:dyDescent="0.2">
      <c r="A12" s="1" t="s">
        <v>6</v>
      </c>
      <c r="B12" s="2">
        <v>0</v>
      </c>
      <c r="C12" s="2">
        <v>343.52</v>
      </c>
      <c r="D12" s="2">
        <v>0</v>
      </c>
      <c r="E12" s="2">
        <f t="shared" si="0"/>
        <v>343.52</v>
      </c>
      <c r="F12" s="2">
        <f t="shared" si="1"/>
        <v>333.33333333333331</v>
      </c>
      <c r="G12" s="2">
        <v>4367.22</v>
      </c>
      <c r="H12" s="2">
        <f t="shared" si="2"/>
        <v>4000</v>
      </c>
      <c r="I12" s="2">
        <v>4000</v>
      </c>
    </row>
    <row r="13" spans="1:9" x14ac:dyDescent="0.2">
      <c r="A13" s="1" t="s">
        <v>7</v>
      </c>
      <c r="B13" s="2">
        <v>0</v>
      </c>
      <c r="C13" s="2">
        <v>6826.1</v>
      </c>
      <c r="D13" s="2">
        <v>0</v>
      </c>
      <c r="E13" s="2">
        <f t="shared" si="0"/>
        <v>6826.1</v>
      </c>
      <c r="F13" s="2">
        <f t="shared" si="1"/>
        <v>7916.666666666667</v>
      </c>
      <c r="G13" s="2">
        <v>96285.61</v>
      </c>
      <c r="H13" s="2">
        <f t="shared" si="2"/>
        <v>95000</v>
      </c>
      <c r="I13" s="2">
        <v>95000</v>
      </c>
    </row>
    <row r="14" spans="1:9" x14ac:dyDescent="0.2">
      <c r="A14" s="1" t="s">
        <v>8</v>
      </c>
      <c r="B14" s="2">
        <v>0</v>
      </c>
      <c r="C14" s="2">
        <v>75.349999999999994</v>
      </c>
      <c r="D14" s="2">
        <v>0</v>
      </c>
      <c r="E14" s="2">
        <f t="shared" si="0"/>
        <v>75.349999999999994</v>
      </c>
      <c r="F14" s="2">
        <f t="shared" si="1"/>
        <v>500</v>
      </c>
      <c r="G14" s="2">
        <v>2236.15</v>
      </c>
      <c r="H14" s="2">
        <f t="shared" si="2"/>
        <v>6000</v>
      </c>
      <c r="I14" s="2">
        <v>6000</v>
      </c>
    </row>
    <row r="15" spans="1:9" x14ac:dyDescent="0.2">
      <c r="A15" s="1" t="s">
        <v>9</v>
      </c>
      <c r="B15" s="2">
        <v>0</v>
      </c>
      <c r="C15" s="2">
        <v>1049.6099999999999</v>
      </c>
      <c r="D15" s="2">
        <v>0</v>
      </c>
      <c r="E15" s="2">
        <f t="shared" si="0"/>
        <v>1049.6099999999999</v>
      </c>
      <c r="F15" s="2">
        <f t="shared" si="1"/>
        <v>2083.3333333333335</v>
      </c>
      <c r="G15" s="2">
        <v>27251.85</v>
      </c>
      <c r="H15" s="2">
        <f t="shared" si="2"/>
        <v>25000</v>
      </c>
      <c r="I15" s="2">
        <v>25000</v>
      </c>
    </row>
    <row r="16" spans="1:9" x14ac:dyDescent="0.2">
      <c r="A16" s="1" t="s">
        <v>10</v>
      </c>
      <c r="B16" s="2">
        <v>0</v>
      </c>
      <c r="C16" s="2">
        <v>48341.27</v>
      </c>
      <c r="D16" s="2">
        <v>0</v>
      </c>
      <c r="E16" s="2">
        <f t="shared" si="0"/>
        <v>48341.27</v>
      </c>
      <c r="F16" s="2">
        <f t="shared" si="1"/>
        <v>46666.666666666664</v>
      </c>
      <c r="G16" s="2">
        <v>554283.53</v>
      </c>
      <c r="H16" s="2">
        <f t="shared" si="2"/>
        <v>560000</v>
      </c>
      <c r="I16" s="2">
        <v>560000</v>
      </c>
    </row>
    <row r="17" spans="1:9" x14ac:dyDescent="0.2">
      <c r="A17" s="1" t="s">
        <v>11</v>
      </c>
      <c r="B17" s="2">
        <v>0</v>
      </c>
      <c r="C17" s="2">
        <v>1163.8900000000001</v>
      </c>
      <c r="D17" s="2">
        <v>0</v>
      </c>
      <c r="E17" s="2">
        <f t="shared" si="0"/>
        <v>1163.8900000000001</v>
      </c>
      <c r="F17" s="2">
        <f t="shared" si="1"/>
        <v>2083.3333333333335</v>
      </c>
      <c r="G17" s="2">
        <v>21425.38</v>
      </c>
      <c r="H17" s="2">
        <f t="shared" si="2"/>
        <v>25000</v>
      </c>
      <c r="I17" s="2">
        <v>25000</v>
      </c>
    </row>
    <row r="18" spans="1:9" x14ac:dyDescent="0.2">
      <c r="A18" s="1" t="s">
        <v>12</v>
      </c>
      <c r="B18" s="4">
        <f t="shared" ref="B18:I18" si="3">SUM(B6:B17)</f>
        <v>0</v>
      </c>
      <c r="C18" s="4">
        <f t="shared" si="3"/>
        <v>130118.57000000002</v>
      </c>
      <c r="D18" s="4">
        <f t="shared" si="3"/>
        <v>121486.35</v>
      </c>
      <c r="E18" s="4">
        <f t="shared" si="3"/>
        <v>251604.91999999998</v>
      </c>
      <c r="F18" s="4">
        <f t="shared" si="3"/>
        <v>312750.0033333333</v>
      </c>
      <c r="G18" s="4">
        <f t="shared" si="3"/>
        <v>3545682.34</v>
      </c>
      <c r="H18" s="4">
        <f>SUM(H6:H17)</f>
        <v>3753000</v>
      </c>
      <c r="I18" s="4">
        <f t="shared" si="3"/>
        <v>3753000</v>
      </c>
    </row>
    <row r="19" spans="1:9" x14ac:dyDescent="0.2">
      <c r="A19" s="1"/>
    </row>
    <row r="20" spans="1:9" x14ac:dyDescent="0.2">
      <c r="A20" s="1" t="s">
        <v>13</v>
      </c>
      <c r="B20" s="1" t="s">
        <v>57</v>
      </c>
      <c r="C20" t="s">
        <v>58</v>
      </c>
      <c r="D20" s="1" t="s">
        <v>59</v>
      </c>
      <c r="E20" s="1" t="s">
        <v>60</v>
      </c>
      <c r="F20" s="1" t="s">
        <v>61</v>
      </c>
      <c r="G20" s="1" t="s">
        <v>62</v>
      </c>
      <c r="H20" s="1" t="s">
        <v>62</v>
      </c>
      <c r="I20" s="1" t="s">
        <v>63</v>
      </c>
    </row>
    <row r="21" spans="1:9" x14ac:dyDescent="0.2">
      <c r="A21" s="1"/>
      <c r="B21" s="1"/>
      <c r="D21" s="1"/>
      <c r="E21" s="1" t="s">
        <v>68</v>
      </c>
      <c r="F21" s="1" t="s">
        <v>65</v>
      </c>
      <c r="G21" s="1" t="s">
        <v>68</v>
      </c>
      <c r="H21" s="1" t="s">
        <v>67</v>
      </c>
      <c r="I21" s="1" t="s">
        <v>67</v>
      </c>
    </row>
    <row r="22" spans="1:9" x14ac:dyDescent="0.2">
      <c r="A22" s="1"/>
      <c r="B22" s="1"/>
      <c r="D22" s="1"/>
      <c r="E22" s="1"/>
      <c r="F22" s="1"/>
      <c r="G22" s="1"/>
      <c r="H22" s="1"/>
      <c r="I22" s="1"/>
    </row>
    <row r="23" spans="1:9" x14ac:dyDescent="0.2">
      <c r="A23" s="1" t="s">
        <v>14</v>
      </c>
      <c r="B23" s="2">
        <v>23164.65</v>
      </c>
      <c r="C23" s="2">
        <v>19156.259999999998</v>
      </c>
      <c r="D23" s="2">
        <v>14094.4</v>
      </c>
      <c r="E23" s="2">
        <f t="shared" ref="E23:E35" si="4">B23+C23+D23</f>
        <v>56415.310000000005</v>
      </c>
      <c r="F23" s="2">
        <f t="shared" ref="F23:F35" si="5">I23/12</f>
        <v>72083.333333333328</v>
      </c>
      <c r="G23" s="2">
        <v>948862.12</v>
      </c>
      <c r="H23" s="2">
        <f>F23*12</f>
        <v>865000</v>
      </c>
      <c r="I23" s="2">
        <v>865000</v>
      </c>
    </row>
    <row r="24" spans="1:9" x14ac:dyDescent="0.2">
      <c r="A24" s="1" t="s">
        <v>15</v>
      </c>
      <c r="B24" s="2">
        <v>1833.42</v>
      </c>
      <c r="C24" s="2">
        <v>1522.22</v>
      </c>
      <c r="D24" s="2">
        <v>1122.3399999999999</v>
      </c>
      <c r="E24" s="2">
        <f t="shared" si="4"/>
        <v>4477.9800000000005</v>
      </c>
      <c r="F24" s="2">
        <f t="shared" si="5"/>
        <v>5791.666666666667</v>
      </c>
      <c r="G24" s="2">
        <v>74864.600000000006</v>
      </c>
      <c r="H24" s="2">
        <f t="shared" ref="H24:H35" si="6">F24*12</f>
        <v>69500</v>
      </c>
      <c r="I24" s="2">
        <v>69500</v>
      </c>
    </row>
    <row r="25" spans="1:9" x14ac:dyDescent="0.2">
      <c r="A25" s="1" t="s">
        <v>16</v>
      </c>
      <c r="B25" s="2">
        <v>0</v>
      </c>
      <c r="C25" s="2">
        <v>0</v>
      </c>
      <c r="D25" s="2">
        <v>0</v>
      </c>
      <c r="E25" s="2">
        <f t="shared" si="4"/>
        <v>0</v>
      </c>
      <c r="F25" s="2">
        <f t="shared" si="5"/>
        <v>625</v>
      </c>
      <c r="G25" s="2">
        <f t="shared" ref="G25:G28" si="7">E25</f>
        <v>0</v>
      </c>
      <c r="H25" s="2">
        <f t="shared" si="6"/>
        <v>7500</v>
      </c>
      <c r="I25" s="2">
        <v>7500</v>
      </c>
    </row>
    <row r="26" spans="1:9" x14ac:dyDescent="0.2">
      <c r="A26" s="1" t="s">
        <v>17</v>
      </c>
      <c r="B26" s="2">
        <v>1005.44</v>
      </c>
      <c r="C26" s="2">
        <v>240</v>
      </c>
      <c r="D26" s="2">
        <v>637.32000000000005</v>
      </c>
      <c r="E26" s="2">
        <f t="shared" si="4"/>
        <v>1882.7600000000002</v>
      </c>
      <c r="F26" s="2">
        <f t="shared" si="5"/>
        <v>3750</v>
      </c>
      <c r="G26" s="2">
        <v>35338.699999999997</v>
      </c>
      <c r="H26" s="2">
        <f t="shared" si="6"/>
        <v>45000</v>
      </c>
      <c r="I26" s="2">
        <v>45000</v>
      </c>
    </row>
    <row r="27" spans="1:9" x14ac:dyDescent="0.2">
      <c r="A27" s="1" t="s">
        <v>18</v>
      </c>
      <c r="B27" s="2">
        <v>0</v>
      </c>
      <c r="C27" s="2">
        <v>0</v>
      </c>
      <c r="D27" s="2">
        <v>0</v>
      </c>
      <c r="E27" s="2">
        <f t="shared" si="4"/>
        <v>0</v>
      </c>
      <c r="F27" s="2">
        <f t="shared" si="5"/>
        <v>7500</v>
      </c>
      <c r="G27" s="2">
        <v>85697.74</v>
      </c>
      <c r="H27" s="2">
        <f t="shared" si="6"/>
        <v>90000</v>
      </c>
      <c r="I27" s="2">
        <v>90000</v>
      </c>
    </row>
    <row r="28" spans="1:9" x14ac:dyDescent="0.2">
      <c r="A28" s="1" t="s">
        <v>19</v>
      </c>
      <c r="B28" s="2">
        <v>0</v>
      </c>
      <c r="C28" s="2">
        <v>0</v>
      </c>
      <c r="D28" s="2">
        <v>0</v>
      </c>
      <c r="E28" s="2">
        <f t="shared" si="4"/>
        <v>0</v>
      </c>
      <c r="F28" s="2">
        <f t="shared" si="5"/>
        <v>833.33333333333337</v>
      </c>
      <c r="G28" s="2">
        <f t="shared" si="7"/>
        <v>0</v>
      </c>
      <c r="H28" s="2">
        <f t="shared" si="6"/>
        <v>10000</v>
      </c>
      <c r="I28" s="2">
        <v>10000</v>
      </c>
    </row>
    <row r="29" spans="1:9" x14ac:dyDescent="0.2">
      <c r="A29" s="1" t="s">
        <v>20</v>
      </c>
      <c r="B29" s="2">
        <v>0</v>
      </c>
      <c r="C29" s="2">
        <v>0</v>
      </c>
      <c r="D29" s="2">
        <v>0</v>
      </c>
      <c r="E29" s="2">
        <f t="shared" si="4"/>
        <v>0</v>
      </c>
      <c r="F29" s="2">
        <f t="shared" si="5"/>
        <v>1666.6666666666667</v>
      </c>
      <c r="G29" s="2">
        <v>4001.1</v>
      </c>
      <c r="H29" s="2">
        <f t="shared" si="6"/>
        <v>20000</v>
      </c>
      <c r="I29" s="2">
        <v>20000</v>
      </c>
    </row>
    <row r="30" spans="1:9" x14ac:dyDescent="0.2">
      <c r="A30" s="1" t="s">
        <v>21</v>
      </c>
      <c r="B30" s="2">
        <v>0</v>
      </c>
      <c r="C30" s="2">
        <v>0</v>
      </c>
      <c r="D30" s="2">
        <v>2793.6</v>
      </c>
      <c r="E30" s="2">
        <f t="shared" si="4"/>
        <v>2793.6</v>
      </c>
      <c r="F30" s="2">
        <f t="shared" si="5"/>
        <v>2166.6666666666665</v>
      </c>
      <c r="G30" s="2">
        <v>21902.46</v>
      </c>
      <c r="H30" s="2">
        <f t="shared" si="6"/>
        <v>26000</v>
      </c>
      <c r="I30" s="2">
        <v>26000</v>
      </c>
    </row>
    <row r="31" spans="1:9" x14ac:dyDescent="0.2">
      <c r="A31" s="1" t="s">
        <v>22</v>
      </c>
      <c r="B31" s="2">
        <v>0</v>
      </c>
      <c r="C31" s="2">
        <v>964.24</v>
      </c>
      <c r="D31" s="2">
        <v>909.5</v>
      </c>
      <c r="E31" s="2">
        <f t="shared" si="4"/>
        <v>1873.74</v>
      </c>
      <c r="F31" s="2">
        <f t="shared" si="5"/>
        <v>1666.6666666666667</v>
      </c>
      <c r="G31" s="2">
        <v>16126.48</v>
      </c>
      <c r="H31" s="2">
        <f t="shared" si="6"/>
        <v>20000</v>
      </c>
      <c r="I31" s="2">
        <v>20000</v>
      </c>
    </row>
    <row r="32" spans="1:9" x14ac:dyDescent="0.2">
      <c r="A32" s="1" t="s">
        <v>23</v>
      </c>
      <c r="B32" s="2">
        <v>231.35</v>
      </c>
      <c r="C32" s="2">
        <v>9112.76</v>
      </c>
      <c r="D32" s="2">
        <v>9112.76</v>
      </c>
      <c r="E32" s="2">
        <f t="shared" si="4"/>
        <v>18456.870000000003</v>
      </c>
      <c r="F32" s="2">
        <f t="shared" si="5"/>
        <v>10833.333333333334</v>
      </c>
      <c r="G32" s="2">
        <v>121674.6</v>
      </c>
      <c r="H32" s="2">
        <f t="shared" si="6"/>
        <v>130000</v>
      </c>
      <c r="I32" s="2">
        <v>130000</v>
      </c>
    </row>
    <row r="33" spans="1:19" x14ac:dyDescent="0.2">
      <c r="A33" s="1" t="s">
        <v>24</v>
      </c>
      <c r="B33" s="2">
        <v>0</v>
      </c>
      <c r="C33" s="2">
        <v>0</v>
      </c>
      <c r="D33" s="2">
        <v>2387.9699999999998</v>
      </c>
      <c r="E33" s="2">
        <f t="shared" si="4"/>
        <v>2387.9699999999998</v>
      </c>
      <c r="F33" s="2">
        <f t="shared" si="5"/>
        <v>2500</v>
      </c>
      <c r="G33" s="2">
        <v>11556.81</v>
      </c>
      <c r="H33" s="2">
        <f t="shared" si="6"/>
        <v>30000</v>
      </c>
      <c r="I33" s="2">
        <v>30000</v>
      </c>
    </row>
    <row r="34" spans="1:19" x14ac:dyDescent="0.2">
      <c r="A34" s="1" t="s">
        <v>25</v>
      </c>
      <c r="B34" s="2">
        <v>0</v>
      </c>
      <c r="C34" s="2">
        <v>0</v>
      </c>
      <c r="D34" s="2">
        <v>0</v>
      </c>
      <c r="E34" s="2">
        <f t="shared" si="4"/>
        <v>0</v>
      </c>
      <c r="F34" s="2">
        <f t="shared" si="5"/>
        <v>250</v>
      </c>
      <c r="G34" s="2">
        <v>1843.18</v>
      </c>
      <c r="H34" s="2">
        <f t="shared" si="6"/>
        <v>3000</v>
      </c>
      <c r="I34" s="2">
        <v>3000</v>
      </c>
    </row>
    <row r="35" spans="1:19" x14ac:dyDescent="0.2">
      <c r="A35" s="1" t="s">
        <v>26</v>
      </c>
      <c r="B35" s="2">
        <v>0</v>
      </c>
      <c r="C35" s="2">
        <v>0</v>
      </c>
      <c r="D35" s="2">
        <v>0</v>
      </c>
      <c r="E35" s="2">
        <f t="shared" si="4"/>
        <v>0</v>
      </c>
      <c r="F35" s="2">
        <f t="shared" si="5"/>
        <v>10833.333333333334</v>
      </c>
      <c r="G35" s="2">
        <v>106606.59</v>
      </c>
      <c r="H35" s="2">
        <f t="shared" si="6"/>
        <v>130000</v>
      </c>
      <c r="I35" s="2">
        <v>130000</v>
      </c>
    </row>
    <row r="36" spans="1:19" x14ac:dyDescent="0.2">
      <c r="A36" s="1"/>
      <c r="B36" s="2"/>
      <c r="C36" s="2"/>
      <c r="D36" s="2"/>
      <c r="E36" s="2"/>
      <c r="F36" s="2"/>
      <c r="G36" s="2"/>
      <c r="H36" s="2"/>
      <c r="I36" s="2"/>
    </row>
    <row r="37" spans="1:19" x14ac:dyDescent="0.2">
      <c r="A37" s="1"/>
      <c r="B37" s="2"/>
      <c r="C37" s="2"/>
      <c r="D37" s="2"/>
      <c r="E37" s="2"/>
      <c r="F37" s="2"/>
      <c r="G37" s="2"/>
      <c r="H37" s="2"/>
      <c r="I37" s="2"/>
    </row>
    <row r="38" spans="1:19" x14ac:dyDescent="0.2">
      <c r="A38" s="1"/>
      <c r="B38" s="1"/>
      <c r="D38" s="1"/>
      <c r="E38" s="1"/>
      <c r="F38" s="1"/>
      <c r="G38" s="1"/>
      <c r="H38" s="1"/>
      <c r="I38" s="1"/>
      <c r="K38" s="1"/>
      <c r="L38" s="1"/>
      <c r="N38" s="1"/>
      <c r="O38" s="1"/>
      <c r="P38" s="1"/>
      <c r="Q38" s="1"/>
      <c r="R38" s="1"/>
      <c r="S38" s="1"/>
    </row>
    <row r="39" spans="1:19" x14ac:dyDescent="0.2">
      <c r="A39" s="1"/>
      <c r="B39" s="1"/>
      <c r="D39" s="1"/>
      <c r="E39" s="1"/>
      <c r="F39" s="1"/>
      <c r="G39" s="1"/>
      <c r="H39" s="1"/>
      <c r="I39" s="1"/>
      <c r="K39" s="1"/>
      <c r="L39" s="1"/>
      <c r="N39" s="1"/>
      <c r="O39" s="1"/>
      <c r="P39" s="1"/>
      <c r="Q39" s="1"/>
      <c r="R39" s="1"/>
      <c r="S39" s="1"/>
    </row>
    <row r="40" spans="1:19" x14ac:dyDescent="0.2">
      <c r="A40" s="1"/>
      <c r="B40" s="1"/>
      <c r="D40" s="1"/>
      <c r="E40" s="1"/>
      <c r="F40" s="1"/>
      <c r="G40" s="1"/>
      <c r="H40" s="1"/>
      <c r="I40" s="1"/>
      <c r="K40" s="1"/>
      <c r="L40" s="1"/>
      <c r="N40" s="1"/>
      <c r="O40" s="1"/>
      <c r="P40" s="1"/>
      <c r="Q40" s="1"/>
      <c r="R40" s="1"/>
      <c r="S40" s="1"/>
    </row>
    <row r="41" spans="1:19" x14ac:dyDescent="0.2">
      <c r="A41" s="1"/>
      <c r="B41" s="2"/>
      <c r="C41" s="2"/>
      <c r="D41" s="2"/>
      <c r="E41" s="2"/>
      <c r="F41" s="2"/>
      <c r="G41" s="2"/>
      <c r="H41" s="2"/>
      <c r="I41" s="2"/>
      <c r="K41" s="1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1"/>
      <c r="B42" s="2"/>
      <c r="C42" s="2"/>
      <c r="D42" s="2"/>
      <c r="E42" s="2"/>
      <c r="F42" s="2"/>
      <c r="G42" s="2"/>
      <c r="H42" s="2"/>
      <c r="I42" s="2"/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"/>
      <c r="B43" s="2"/>
      <c r="C43" s="2"/>
      <c r="D43" s="2"/>
      <c r="E43" s="2"/>
      <c r="F43" s="2"/>
      <c r="G43" s="2"/>
      <c r="H43" s="2"/>
      <c r="I43" s="2"/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" t="s">
        <v>13</v>
      </c>
      <c r="B44" s="1" t="s">
        <v>57</v>
      </c>
      <c r="C44" t="s">
        <v>58</v>
      </c>
      <c r="D44" s="1" t="s">
        <v>59</v>
      </c>
      <c r="E44" s="1" t="s">
        <v>60</v>
      </c>
      <c r="F44" s="1" t="s">
        <v>61</v>
      </c>
      <c r="G44" s="1" t="s">
        <v>62</v>
      </c>
      <c r="H44" s="1" t="s">
        <v>62</v>
      </c>
      <c r="I44" s="1" t="s">
        <v>63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"/>
      <c r="B45" s="1"/>
      <c r="D45" s="1"/>
      <c r="E45" s="1" t="s">
        <v>68</v>
      </c>
      <c r="F45" s="1" t="s">
        <v>65</v>
      </c>
      <c r="G45" s="1" t="s">
        <v>68</v>
      </c>
      <c r="H45" s="1" t="s">
        <v>67</v>
      </c>
      <c r="I45" s="1" t="s">
        <v>67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"/>
      <c r="B46" s="1"/>
      <c r="D46" s="1"/>
      <c r="E46" s="1"/>
      <c r="F46" s="1"/>
      <c r="G46" s="1"/>
      <c r="H46" s="1"/>
      <c r="I46" s="1"/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" t="s">
        <v>27</v>
      </c>
      <c r="B47" s="2">
        <v>5306.83</v>
      </c>
      <c r="C47" s="2">
        <v>3903.61</v>
      </c>
      <c r="D47" s="2">
        <v>3274.28</v>
      </c>
      <c r="E47" s="2">
        <f t="shared" ref="E47:E74" si="8">B47+C47+D47</f>
        <v>12484.720000000001</v>
      </c>
      <c r="F47" s="2">
        <f t="shared" ref="F47:F49" si="9">I47/12</f>
        <v>12083.333333333334</v>
      </c>
      <c r="G47" s="2">
        <v>147891.87</v>
      </c>
      <c r="H47" s="2">
        <f>F47*12</f>
        <v>145000</v>
      </c>
      <c r="I47" s="2">
        <v>145000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" t="s">
        <v>28</v>
      </c>
      <c r="B48" s="2">
        <v>75</v>
      </c>
      <c r="C48" s="2">
        <v>75</v>
      </c>
      <c r="D48" s="2">
        <v>75</v>
      </c>
      <c r="E48" s="2">
        <f t="shared" si="8"/>
        <v>225</v>
      </c>
      <c r="F48" s="2">
        <f t="shared" si="9"/>
        <v>24166.666666666668</v>
      </c>
      <c r="G48" s="2">
        <v>279717.71999999997</v>
      </c>
      <c r="H48" s="2">
        <f t="shared" ref="H48:H74" si="10">F48*12</f>
        <v>290000</v>
      </c>
      <c r="I48" s="2">
        <v>290000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" t="s">
        <v>29</v>
      </c>
      <c r="B49" s="2">
        <v>0</v>
      </c>
      <c r="C49" s="2">
        <v>441.98</v>
      </c>
      <c r="D49" s="2">
        <v>0</v>
      </c>
      <c r="E49" s="2">
        <f t="shared" si="8"/>
        <v>441.98</v>
      </c>
      <c r="F49" s="2">
        <f t="shared" si="9"/>
        <v>416.66666666666669</v>
      </c>
      <c r="G49" s="2">
        <v>3218.63</v>
      </c>
      <c r="H49" s="2">
        <f t="shared" si="10"/>
        <v>5000</v>
      </c>
      <c r="I49" s="2">
        <v>5000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" t="s">
        <v>30</v>
      </c>
      <c r="B50" s="2">
        <v>0</v>
      </c>
      <c r="C50" s="2">
        <v>457.68</v>
      </c>
      <c r="D50" s="2">
        <v>457.69</v>
      </c>
      <c r="E50" s="2">
        <f t="shared" si="8"/>
        <v>915.37</v>
      </c>
      <c r="F50" s="2">
        <f>I50/12</f>
        <v>1166.6666666666667</v>
      </c>
      <c r="G50" s="2">
        <v>10207.01</v>
      </c>
      <c r="H50" s="2">
        <f t="shared" si="10"/>
        <v>14000</v>
      </c>
      <c r="I50" s="2">
        <v>14000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" t="s">
        <v>32</v>
      </c>
      <c r="B51" s="2">
        <v>0</v>
      </c>
      <c r="C51" s="2">
        <v>0</v>
      </c>
      <c r="D51" s="2">
        <v>0</v>
      </c>
      <c r="E51" s="2">
        <f t="shared" si="8"/>
        <v>0</v>
      </c>
      <c r="F51" s="2">
        <f t="shared" ref="F51:F74" si="11">I51/12</f>
        <v>83.333333333333329</v>
      </c>
      <c r="G51" s="2">
        <f t="shared" ref="G51" si="12">E51</f>
        <v>0</v>
      </c>
      <c r="H51" s="2">
        <f t="shared" si="10"/>
        <v>1000</v>
      </c>
      <c r="I51" s="2">
        <v>1000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" t="s">
        <v>33</v>
      </c>
      <c r="B52" s="2">
        <v>0</v>
      </c>
      <c r="C52" s="2">
        <v>0</v>
      </c>
      <c r="D52" s="2">
        <v>631.04</v>
      </c>
      <c r="E52" s="2">
        <f t="shared" si="8"/>
        <v>631.04</v>
      </c>
      <c r="F52" s="2">
        <f t="shared" si="11"/>
        <v>500</v>
      </c>
      <c r="G52" s="2">
        <v>9606.7199999999993</v>
      </c>
      <c r="H52" s="2">
        <f t="shared" si="10"/>
        <v>6000</v>
      </c>
      <c r="I52" s="2">
        <v>6000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" t="s">
        <v>34</v>
      </c>
      <c r="B53" s="2">
        <v>0</v>
      </c>
      <c r="C53" s="2">
        <v>165.39</v>
      </c>
      <c r="D53" s="2">
        <v>305.91000000000003</v>
      </c>
      <c r="E53" s="2">
        <f t="shared" si="8"/>
        <v>471.3</v>
      </c>
      <c r="F53" s="2">
        <f t="shared" si="11"/>
        <v>1125</v>
      </c>
      <c r="G53" s="2">
        <v>5215.3100000000004</v>
      </c>
      <c r="H53" s="2">
        <f t="shared" si="10"/>
        <v>13500</v>
      </c>
      <c r="I53" s="2">
        <v>13500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" t="s">
        <v>35</v>
      </c>
      <c r="B54" s="2">
        <v>0</v>
      </c>
      <c r="C54" s="2">
        <v>5774.63</v>
      </c>
      <c r="D54" s="2">
        <v>6043.86</v>
      </c>
      <c r="E54" s="2">
        <f t="shared" si="8"/>
        <v>11818.49</v>
      </c>
      <c r="F54" s="2">
        <f t="shared" si="11"/>
        <v>12500</v>
      </c>
      <c r="G54" s="2">
        <v>123327.24</v>
      </c>
      <c r="H54" s="2">
        <f t="shared" si="10"/>
        <v>150000</v>
      </c>
      <c r="I54" s="2">
        <v>150000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" t="s">
        <v>36</v>
      </c>
      <c r="B55" s="2">
        <v>0</v>
      </c>
      <c r="C55" s="2">
        <v>62172.89</v>
      </c>
      <c r="D55" s="2">
        <v>0</v>
      </c>
      <c r="E55" s="2">
        <f t="shared" si="8"/>
        <v>62172.89</v>
      </c>
      <c r="F55" s="2">
        <f t="shared" si="11"/>
        <v>104166.66666666667</v>
      </c>
      <c r="G55" s="2">
        <v>978721.65</v>
      </c>
      <c r="H55" s="2">
        <f t="shared" si="10"/>
        <v>1250000</v>
      </c>
      <c r="I55" s="2">
        <v>1250000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" t="s">
        <v>37</v>
      </c>
      <c r="B56" s="2">
        <v>0</v>
      </c>
      <c r="C56" s="2">
        <v>1217.43</v>
      </c>
      <c r="D56" s="2">
        <v>0</v>
      </c>
      <c r="E56" s="2">
        <f t="shared" si="8"/>
        <v>1217.43</v>
      </c>
      <c r="F56" s="2">
        <f t="shared" si="11"/>
        <v>250</v>
      </c>
      <c r="G56" s="2">
        <v>4541.2700000000004</v>
      </c>
      <c r="H56" s="2">
        <f t="shared" si="10"/>
        <v>3000</v>
      </c>
      <c r="I56" s="2">
        <v>3000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" t="s">
        <v>38</v>
      </c>
      <c r="B57" s="2">
        <v>0</v>
      </c>
      <c r="C57" s="2">
        <v>756</v>
      </c>
      <c r="D57" s="2">
        <v>0</v>
      </c>
      <c r="E57" s="2">
        <f t="shared" si="8"/>
        <v>756</v>
      </c>
      <c r="F57" s="2">
        <f t="shared" si="11"/>
        <v>1250</v>
      </c>
      <c r="G57" s="2">
        <v>14053</v>
      </c>
      <c r="H57" s="2">
        <f t="shared" si="10"/>
        <v>15000</v>
      </c>
      <c r="I57" s="2">
        <v>15000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" t="s">
        <v>39</v>
      </c>
      <c r="B58" s="2">
        <v>0</v>
      </c>
      <c r="C58" s="2">
        <v>647.96</v>
      </c>
      <c r="D58" s="2">
        <v>0</v>
      </c>
      <c r="E58" s="2">
        <f t="shared" si="8"/>
        <v>647.96</v>
      </c>
      <c r="F58" s="2">
        <f t="shared" si="11"/>
        <v>583.33333333333337</v>
      </c>
      <c r="G58" s="2">
        <v>3626.94</v>
      </c>
      <c r="H58" s="2">
        <f t="shared" si="10"/>
        <v>7000</v>
      </c>
      <c r="I58" s="2">
        <v>7000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" t="s">
        <v>40</v>
      </c>
      <c r="B59" s="2">
        <v>341.25</v>
      </c>
      <c r="C59" s="2">
        <v>0</v>
      </c>
      <c r="D59" s="2">
        <v>0</v>
      </c>
      <c r="E59" s="2">
        <f t="shared" si="8"/>
        <v>341.25</v>
      </c>
      <c r="F59" s="2">
        <f t="shared" si="11"/>
        <v>416.66666666666669</v>
      </c>
      <c r="G59" s="2">
        <v>2927.25</v>
      </c>
      <c r="H59" s="2">
        <f t="shared" si="10"/>
        <v>5000</v>
      </c>
      <c r="I59" s="2">
        <v>5000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" t="s">
        <v>41</v>
      </c>
      <c r="B60" s="2">
        <v>1762.25</v>
      </c>
      <c r="C60" s="2">
        <v>0</v>
      </c>
      <c r="D60" s="2">
        <v>0</v>
      </c>
      <c r="E60" s="2">
        <f t="shared" si="8"/>
        <v>1762.25</v>
      </c>
      <c r="F60" s="2">
        <f t="shared" si="11"/>
        <v>2416.6666666666665</v>
      </c>
      <c r="G60" s="2">
        <v>21605.87</v>
      </c>
      <c r="H60" s="2">
        <f t="shared" si="10"/>
        <v>29000</v>
      </c>
      <c r="I60" s="2">
        <v>29000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" t="s">
        <v>42</v>
      </c>
      <c r="B61" s="2">
        <v>0</v>
      </c>
      <c r="C61" s="2">
        <v>16240.8</v>
      </c>
      <c r="D61" s="2">
        <v>0</v>
      </c>
      <c r="E61" s="2">
        <f t="shared" si="8"/>
        <v>16240.8</v>
      </c>
      <c r="F61" s="2">
        <f t="shared" si="11"/>
        <v>2666.6666666666665</v>
      </c>
      <c r="G61" s="2">
        <v>33108.22</v>
      </c>
      <c r="H61" s="2">
        <f t="shared" si="10"/>
        <v>32000</v>
      </c>
      <c r="I61" s="2">
        <v>32000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" t="s">
        <v>43</v>
      </c>
      <c r="B62" s="2">
        <v>0</v>
      </c>
      <c r="C62" s="2">
        <v>1932.78</v>
      </c>
      <c r="D62" s="2">
        <v>0</v>
      </c>
      <c r="E62" s="2">
        <f t="shared" si="8"/>
        <v>1932.78</v>
      </c>
      <c r="F62" s="2">
        <f t="shared" si="11"/>
        <v>3166.6666666666665</v>
      </c>
      <c r="G62" s="2">
        <v>28840.5</v>
      </c>
      <c r="H62" s="2">
        <f t="shared" si="10"/>
        <v>38000</v>
      </c>
      <c r="I62" s="2">
        <v>38000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" t="s">
        <v>44</v>
      </c>
      <c r="B63" s="2">
        <v>0</v>
      </c>
      <c r="C63" s="2">
        <v>0</v>
      </c>
      <c r="D63" s="2">
        <v>0</v>
      </c>
      <c r="E63" s="2">
        <f t="shared" si="8"/>
        <v>0</v>
      </c>
      <c r="F63" s="2">
        <f t="shared" si="11"/>
        <v>1000</v>
      </c>
      <c r="G63" s="2">
        <v>9467</v>
      </c>
      <c r="H63" s="2">
        <f t="shared" si="10"/>
        <v>12000</v>
      </c>
      <c r="I63" s="2">
        <v>12000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" t="s">
        <v>45</v>
      </c>
      <c r="B64" s="2">
        <v>0</v>
      </c>
      <c r="C64" s="2">
        <v>6231.07</v>
      </c>
      <c r="D64" s="2">
        <v>0</v>
      </c>
      <c r="E64" s="2">
        <f t="shared" si="8"/>
        <v>6231.07</v>
      </c>
      <c r="F64" s="2">
        <f t="shared" si="11"/>
        <v>1250</v>
      </c>
      <c r="G64" s="2">
        <v>17614.349999999999</v>
      </c>
      <c r="H64" s="2">
        <f t="shared" si="10"/>
        <v>15000</v>
      </c>
      <c r="I64" s="2">
        <v>15000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" t="s">
        <v>46</v>
      </c>
      <c r="B65" s="2">
        <v>564.72</v>
      </c>
      <c r="C65" s="2">
        <v>0</v>
      </c>
      <c r="D65" s="2">
        <v>0</v>
      </c>
      <c r="E65" s="2">
        <f t="shared" si="8"/>
        <v>564.72</v>
      </c>
      <c r="F65" s="2">
        <f t="shared" si="11"/>
        <v>1666.6666666666667</v>
      </c>
      <c r="G65" s="2">
        <v>8724.9599999999991</v>
      </c>
      <c r="H65" s="2">
        <f t="shared" si="10"/>
        <v>20000</v>
      </c>
      <c r="I65" s="2">
        <v>20000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" t="s">
        <v>47</v>
      </c>
      <c r="B66" s="2">
        <v>15527.47</v>
      </c>
      <c r="C66" s="2">
        <v>0</v>
      </c>
      <c r="D66" s="2">
        <v>0</v>
      </c>
      <c r="E66" s="2">
        <f t="shared" si="8"/>
        <v>15527.47</v>
      </c>
      <c r="F66" s="2">
        <f t="shared" si="11"/>
        <v>12083.333333333334</v>
      </c>
      <c r="G66" s="2">
        <v>143384.64000000001</v>
      </c>
      <c r="H66" s="2">
        <f t="shared" si="10"/>
        <v>145000</v>
      </c>
      <c r="I66" s="2">
        <v>145000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" t="s">
        <v>48</v>
      </c>
      <c r="B67" s="2">
        <v>0</v>
      </c>
      <c r="C67" s="2">
        <v>0</v>
      </c>
      <c r="D67" s="2">
        <v>0</v>
      </c>
      <c r="E67" s="2">
        <f t="shared" si="8"/>
        <v>0</v>
      </c>
      <c r="F67" s="2">
        <f t="shared" si="11"/>
        <v>83.333333333333329</v>
      </c>
      <c r="G67" s="2">
        <v>254</v>
      </c>
      <c r="H67" s="2">
        <f t="shared" si="10"/>
        <v>1000</v>
      </c>
      <c r="I67" s="2">
        <v>1000</v>
      </c>
      <c r="K67" s="1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1" t="s">
        <v>49</v>
      </c>
      <c r="B68" s="2">
        <v>263.55</v>
      </c>
      <c r="C68" s="2">
        <v>0</v>
      </c>
      <c r="D68" s="2">
        <v>0</v>
      </c>
      <c r="E68" s="2">
        <f t="shared" si="8"/>
        <v>263.55</v>
      </c>
      <c r="F68" s="2">
        <f t="shared" si="11"/>
        <v>208.33333333333334</v>
      </c>
      <c r="G68" s="2">
        <v>2198.73</v>
      </c>
      <c r="H68" s="2">
        <f t="shared" si="10"/>
        <v>2500</v>
      </c>
      <c r="I68" s="2">
        <v>2500</v>
      </c>
      <c r="K68" s="1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1" t="s">
        <v>50</v>
      </c>
      <c r="B69" s="2">
        <v>0</v>
      </c>
      <c r="C69" s="2">
        <v>0</v>
      </c>
      <c r="D69" s="2">
        <v>0</v>
      </c>
      <c r="E69" s="2">
        <f t="shared" si="8"/>
        <v>0</v>
      </c>
      <c r="F69" s="2">
        <f t="shared" si="11"/>
        <v>2500</v>
      </c>
      <c r="G69" s="2">
        <v>20906</v>
      </c>
      <c r="H69" s="2">
        <f t="shared" si="10"/>
        <v>30000</v>
      </c>
      <c r="I69" s="2">
        <v>30000</v>
      </c>
      <c r="K69" s="1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1" t="s">
        <v>51</v>
      </c>
      <c r="B70" s="2">
        <v>0</v>
      </c>
      <c r="C70" s="2">
        <v>0</v>
      </c>
      <c r="D70" s="2">
        <v>0</v>
      </c>
      <c r="E70" s="2">
        <f t="shared" si="8"/>
        <v>0</v>
      </c>
      <c r="F70" s="2">
        <f t="shared" si="11"/>
        <v>0</v>
      </c>
      <c r="G70" s="2">
        <f t="shared" ref="G70" si="13">E70</f>
        <v>0</v>
      </c>
      <c r="H70" s="2">
        <f t="shared" si="10"/>
        <v>0</v>
      </c>
      <c r="I70" s="2">
        <v>0</v>
      </c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1" t="s">
        <v>52</v>
      </c>
      <c r="B71" s="2">
        <v>0</v>
      </c>
      <c r="C71" s="2">
        <v>2960.89</v>
      </c>
      <c r="D71" s="2">
        <v>0</v>
      </c>
      <c r="E71" s="2">
        <f t="shared" si="8"/>
        <v>2960.89</v>
      </c>
      <c r="F71" s="2">
        <f t="shared" si="11"/>
        <v>4000</v>
      </c>
      <c r="G71" s="2">
        <v>40493.57</v>
      </c>
      <c r="H71" s="2">
        <f t="shared" si="10"/>
        <v>48000</v>
      </c>
      <c r="I71" s="2">
        <v>48000</v>
      </c>
      <c r="K71" s="1"/>
      <c r="L71" s="2"/>
      <c r="M71" s="2"/>
      <c r="N71" s="2"/>
      <c r="O71" s="3"/>
      <c r="Q71" s="3"/>
    </row>
    <row r="72" spans="1:19" x14ac:dyDescent="0.2">
      <c r="A72" s="1" t="s">
        <v>53</v>
      </c>
      <c r="B72" s="2">
        <v>0</v>
      </c>
      <c r="C72" s="2">
        <v>113.45</v>
      </c>
      <c r="D72" s="2">
        <v>0</v>
      </c>
      <c r="E72" s="2">
        <f t="shared" si="8"/>
        <v>113.45</v>
      </c>
      <c r="F72" s="2">
        <f t="shared" si="11"/>
        <v>833.33333333333337</v>
      </c>
      <c r="G72" s="2">
        <v>8354.25</v>
      </c>
      <c r="H72" s="2">
        <f t="shared" si="10"/>
        <v>10000</v>
      </c>
      <c r="I72" s="2">
        <v>10000</v>
      </c>
    </row>
    <row r="73" spans="1:19" x14ac:dyDescent="0.2">
      <c r="A73" s="1" t="s">
        <v>54</v>
      </c>
      <c r="B73" s="2">
        <v>0</v>
      </c>
      <c r="C73" s="2">
        <v>0</v>
      </c>
      <c r="D73" s="2">
        <v>0</v>
      </c>
      <c r="E73" s="2">
        <f t="shared" si="8"/>
        <v>0</v>
      </c>
      <c r="F73" s="2">
        <f t="shared" si="11"/>
        <v>0</v>
      </c>
      <c r="G73" s="2">
        <v>7.1</v>
      </c>
      <c r="H73" s="2">
        <f t="shared" si="10"/>
        <v>0</v>
      </c>
      <c r="I73" s="2">
        <v>0</v>
      </c>
    </row>
    <row r="74" spans="1:19" x14ac:dyDescent="0.2">
      <c r="A74" s="1" t="s">
        <v>72</v>
      </c>
      <c r="B74" s="2">
        <v>0</v>
      </c>
      <c r="C74" s="2">
        <v>0</v>
      </c>
      <c r="D74" s="2">
        <v>0</v>
      </c>
      <c r="E74" s="2">
        <f t="shared" si="8"/>
        <v>0</v>
      </c>
      <c r="F74" s="2">
        <f t="shared" si="11"/>
        <v>1666.6666666666667</v>
      </c>
      <c r="G74" s="2">
        <f t="shared" ref="G74" si="14">E74</f>
        <v>0</v>
      </c>
      <c r="H74" s="2">
        <f t="shared" si="10"/>
        <v>20000</v>
      </c>
      <c r="I74" s="2">
        <v>20000</v>
      </c>
    </row>
    <row r="75" spans="1:19" x14ac:dyDescent="0.2">
      <c r="A75" s="1" t="s">
        <v>55</v>
      </c>
      <c r="B75" s="4">
        <f>SUM(B23:B74)</f>
        <v>50075.93</v>
      </c>
      <c r="C75" s="4">
        <f>SUM(C23:C74)</f>
        <v>134087.04000000004</v>
      </c>
      <c r="D75" s="4">
        <f t="shared" ref="D75:I75" si="15">SUM(D23:D74)</f>
        <v>41845.670000000006</v>
      </c>
      <c r="E75" s="4">
        <f t="shared" si="15"/>
        <v>226008.64</v>
      </c>
      <c r="F75" s="4">
        <f t="shared" si="15"/>
        <v>312750</v>
      </c>
      <c r="G75" s="4">
        <f t="shared" si="15"/>
        <v>3346488.18</v>
      </c>
      <c r="H75" s="4">
        <f t="shared" si="15"/>
        <v>3753000</v>
      </c>
      <c r="I75" s="4">
        <f t="shared" si="15"/>
        <v>3753000</v>
      </c>
    </row>
    <row r="76" spans="1:19" x14ac:dyDescent="0.2">
      <c r="B76" s="2"/>
      <c r="C76" s="2" t="s">
        <v>69</v>
      </c>
      <c r="D76" s="2"/>
      <c r="E76" s="2"/>
      <c r="F76" s="2"/>
      <c r="G76" s="2"/>
      <c r="H76" s="2"/>
      <c r="I76" s="2"/>
    </row>
    <row r="77" spans="1:19" ht="13.5" thickBot="1" x14ac:dyDescent="0.25">
      <c r="A77" s="1" t="s">
        <v>56</v>
      </c>
      <c r="B77" s="5">
        <f>B18-B75</f>
        <v>-50075.93</v>
      </c>
      <c r="C77" s="5">
        <f t="shared" ref="C77:G77" si="16">C18-C75</f>
        <v>-3968.4700000000157</v>
      </c>
      <c r="D77" s="5">
        <f t="shared" si="16"/>
        <v>79640.679999999993</v>
      </c>
      <c r="E77" s="5">
        <f t="shared" si="16"/>
        <v>25596.27999999997</v>
      </c>
      <c r="F77" s="5">
        <f t="shared" si="16"/>
        <v>3.3333332976326346E-3</v>
      </c>
      <c r="G77" s="5">
        <f t="shared" si="16"/>
        <v>199194.15999999968</v>
      </c>
    </row>
    <row r="78" spans="1:19" ht="13.5" thickTop="1" x14ac:dyDescent="0.2"/>
  </sheetData>
  <pageMargins left="0.7" right="0.7" top="0.75" bottom="0.75" header="0.3" footer="0.3"/>
  <pageSetup orientation="landscape" r:id="rId1"/>
  <headerFooter>
    <oddHeader>&amp;CBARTOW MUNICIPAL AIRPORT DEVELOPMENT AUTHORITY
CASH FLOW SUMMARY FOR
SEPTEMBER 2015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6"/>
  <sheetViews>
    <sheetView zoomScaleNormal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Q13" sqref="Q13"/>
    </sheetView>
  </sheetViews>
  <sheetFormatPr defaultRowHeight="12.75" x14ac:dyDescent="0.2"/>
  <cols>
    <col min="1" max="1" width="28.7109375" style="10" bestFit="1" customWidth="1"/>
    <col min="2" max="2" width="9.710937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0.7109375" bestFit="1" customWidth="1"/>
    <col min="8" max="8" width="10.140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D1" s="31" t="s">
        <v>74</v>
      </c>
    </row>
    <row r="3" spans="1:10" ht="15.75" x14ac:dyDescent="0.25">
      <c r="D3" s="31" t="s">
        <v>84</v>
      </c>
    </row>
    <row r="6" spans="1:10" x14ac:dyDescent="0.2">
      <c r="B6" s="1" t="s">
        <v>57</v>
      </c>
      <c r="C6" t="s">
        <v>58</v>
      </c>
      <c r="D6" s="8" t="s">
        <v>59</v>
      </c>
      <c r="E6" s="1" t="s">
        <v>60</v>
      </c>
      <c r="F6" s="1" t="s">
        <v>61</v>
      </c>
      <c r="G6" s="1" t="s">
        <v>62</v>
      </c>
      <c r="H6" s="1" t="s">
        <v>62</v>
      </c>
      <c r="I6" s="8" t="s">
        <v>63</v>
      </c>
      <c r="J6" s="16">
        <v>8.3299999999999999E-2</v>
      </c>
    </row>
    <row r="7" spans="1:10" x14ac:dyDescent="0.2">
      <c r="B7" s="1"/>
      <c r="D7" s="8"/>
      <c r="E7" s="1" t="s">
        <v>64</v>
      </c>
      <c r="F7" s="1" t="s">
        <v>65</v>
      </c>
      <c r="G7" s="1" t="s">
        <v>66</v>
      </c>
      <c r="H7" s="1" t="s">
        <v>67</v>
      </c>
      <c r="I7" s="8" t="s">
        <v>67</v>
      </c>
      <c r="J7" s="17" t="s">
        <v>65</v>
      </c>
    </row>
    <row r="8" spans="1:10" x14ac:dyDescent="0.2">
      <c r="A8" s="11" t="s">
        <v>0</v>
      </c>
      <c r="J8" s="17" t="s">
        <v>75</v>
      </c>
    </row>
    <row r="9" spans="1:10" x14ac:dyDescent="0.2">
      <c r="A9" s="11" t="s">
        <v>1</v>
      </c>
      <c r="B9" s="13">
        <v>0</v>
      </c>
      <c r="C9" s="13">
        <v>0</v>
      </c>
      <c r="D9" s="13">
        <v>144201.26999999999</v>
      </c>
      <c r="E9" s="14">
        <f>+B9+C9+D9</f>
        <v>144201.26999999999</v>
      </c>
      <c r="F9" s="14">
        <f>I9/12</f>
        <v>148333.33333333334</v>
      </c>
      <c r="G9" s="13">
        <f>E9</f>
        <v>144201.26999999999</v>
      </c>
      <c r="H9" s="14">
        <f>F9*1</f>
        <v>148333.33333333334</v>
      </c>
      <c r="I9" s="13">
        <v>1780000</v>
      </c>
      <c r="J9" s="32">
        <f>+G9/I9</f>
        <v>8.1011949438202238E-2</v>
      </c>
    </row>
    <row r="10" spans="1:10" x14ac:dyDescent="0.2">
      <c r="A10" s="11" t="s">
        <v>2</v>
      </c>
      <c r="B10" s="13">
        <v>0</v>
      </c>
      <c r="C10" s="13">
        <v>935.15</v>
      </c>
      <c r="D10" s="13">
        <v>5724.63</v>
      </c>
      <c r="E10" s="14">
        <f t="shared" ref="E10:E20" si="0">+B10+C10+D10</f>
        <v>6659.78</v>
      </c>
      <c r="F10" s="14">
        <f t="shared" ref="F10:F20" si="1">I10/12</f>
        <v>6083.333333333333</v>
      </c>
      <c r="G10" s="13">
        <f t="shared" ref="G10:G20" si="2">E10</f>
        <v>6659.78</v>
      </c>
      <c r="H10" s="14">
        <f t="shared" ref="H10:H20" si="3">F10*1</f>
        <v>6083.333333333333</v>
      </c>
      <c r="I10" s="13">
        <v>73000</v>
      </c>
      <c r="J10" s="32">
        <f t="shared" ref="J10:J21" si="4">+G10/I10</f>
        <v>9.122986301369862E-2</v>
      </c>
    </row>
    <row r="11" spans="1:10" x14ac:dyDescent="0.2">
      <c r="A11" s="11" t="s">
        <v>71</v>
      </c>
      <c r="B11" s="13">
        <v>0</v>
      </c>
      <c r="C11" s="13">
        <v>0</v>
      </c>
      <c r="D11" s="13">
        <v>0</v>
      </c>
      <c r="E11" s="14">
        <f t="shared" si="0"/>
        <v>0</v>
      </c>
      <c r="F11" s="14">
        <f t="shared" si="1"/>
        <v>1250</v>
      </c>
      <c r="G11" s="13">
        <f t="shared" si="2"/>
        <v>0</v>
      </c>
      <c r="H11" s="14">
        <f t="shared" si="3"/>
        <v>1250</v>
      </c>
      <c r="I11" s="13">
        <v>15000</v>
      </c>
      <c r="J11" s="32">
        <f t="shared" si="4"/>
        <v>0</v>
      </c>
    </row>
    <row r="12" spans="1:10" x14ac:dyDescent="0.2">
      <c r="A12" s="11" t="s">
        <v>3</v>
      </c>
      <c r="B12" s="13">
        <v>0</v>
      </c>
      <c r="C12" s="13">
        <v>0</v>
      </c>
      <c r="D12" s="13">
        <v>1249.54</v>
      </c>
      <c r="E12" s="14">
        <f t="shared" si="0"/>
        <v>1249.54</v>
      </c>
      <c r="F12" s="14">
        <f t="shared" si="1"/>
        <v>3333.3333333333335</v>
      </c>
      <c r="G12" s="13">
        <f t="shared" si="2"/>
        <v>1249.54</v>
      </c>
      <c r="H12" s="14">
        <f t="shared" si="3"/>
        <v>3333.3333333333335</v>
      </c>
      <c r="I12" s="13">
        <v>40000</v>
      </c>
      <c r="J12" s="32">
        <f t="shared" si="4"/>
        <v>3.1238499999999999E-2</v>
      </c>
    </row>
    <row r="13" spans="1:10" x14ac:dyDescent="0.2">
      <c r="A13" s="11" t="s">
        <v>4</v>
      </c>
      <c r="B13" s="13">
        <v>0</v>
      </c>
      <c r="C13" s="13">
        <v>0</v>
      </c>
      <c r="D13" s="13">
        <v>186.64</v>
      </c>
      <c r="E13" s="14">
        <f t="shared" si="0"/>
        <v>186.64</v>
      </c>
      <c r="F13" s="14">
        <f t="shared" si="1"/>
        <v>8333.3333333333339</v>
      </c>
      <c r="G13" s="13">
        <f t="shared" si="2"/>
        <v>186.64</v>
      </c>
      <c r="H13" s="14">
        <f t="shared" si="3"/>
        <v>8333.3333333333339</v>
      </c>
      <c r="I13" s="13">
        <v>100000</v>
      </c>
      <c r="J13" s="32">
        <f t="shared" si="4"/>
        <v>1.8663999999999998E-3</v>
      </c>
    </row>
    <row r="14" spans="1:10" x14ac:dyDescent="0.2">
      <c r="A14" s="11" t="s">
        <v>5</v>
      </c>
      <c r="B14" s="13">
        <v>0</v>
      </c>
      <c r="C14" s="13">
        <v>109906.42</v>
      </c>
      <c r="D14" s="13">
        <v>0</v>
      </c>
      <c r="E14" s="14">
        <f t="shared" si="0"/>
        <v>109906.42</v>
      </c>
      <c r="F14" s="14">
        <f t="shared" si="1"/>
        <v>121666.66666666667</v>
      </c>
      <c r="G14" s="13">
        <f t="shared" si="2"/>
        <v>109906.42</v>
      </c>
      <c r="H14" s="14">
        <f t="shared" si="3"/>
        <v>121666.66666666667</v>
      </c>
      <c r="I14" s="13">
        <v>1460000</v>
      </c>
      <c r="J14" s="32">
        <f t="shared" si="4"/>
        <v>7.52783698630137E-2</v>
      </c>
    </row>
    <row r="15" spans="1:10" x14ac:dyDescent="0.2">
      <c r="A15" s="11" t="s">
        <v>6</v>
      </c>
      <c r="B15" s="13">
        <v>0</v>
      </c>
      <c r="C15" s="13">
        <v>436.98</v>
      </c>
      <c r="D15" s="13">
        <v>0</v>
      </c>
      <c r="E15" s="14">
        <f t="shared" si="0"/>
        <v>436.98</v>
      </c>
      <c r="F15" s="14">
        <f t="shared" si="1"/>
        <v>916.66666666666663</v>
      </c>
      <c r="G15" s="13">
        <f t="shared" si="2"/>
        <v>436.98</v>
      </c>
      <c r="H15" s="14">
        <f t="shared" si="3"/>
        <v>916.66666666666663</v>
      </c>
      <c r="I15" s="13">
        <v>11000</v>
      </c>
      <c r="J15" s="32">
        <f t="shared" si="4"/>
        <v>3.972545454545455E-2</v>
      </c>
    </row>
    <row r="16" spans="1:10" x14ac:dyDescent="0.2">
      <c r="A16" s="11" t="s">
        <v>7</v>
      </c>
      <c r="B16" s="13">
        <v>0</v>
      </c>
      <c r="C16" s="13">
        <v>19418.169999999998</v>
      </c>
      <c r="D16" s="13">
        <v>0</v>
      </c>
      <c r="E16" s="14">
        <f t="shared" si="0"/>
        <v>19418.169999999998</v>
      </c>
      <c r="F16" s="14">
        <f t="shared" si="1"/>
        <v>15833.333333333334</v>
      </c>
      <c r="G16" s="13">
        <f t="shared" si="2"/>
        <v>19418.169999999998</v>
      </c>
      <c r="H16" s="14">
        <f t="shared" si="3"/>
        <v>15833.333333333334</v>
      </c>
      <c r="I16" s="13">
        <v>190000</v>
      </c>
      <c r="J16" s="32">
        <f t="shared" si="4"/>
        <v>0.1022008947368421</v>
      </c>
    </row>
    <row r="17" spans="1:11" x14ac:dyDescent="0.2">
      <c r="A17" s="11" t="s">
        <v>8</v>
      </c>
      <c r="B17" s="13">
        <v>0</v>
      </c>
      <c r="C17" s="13">
        <v>225</v>
      </c>
      <c r="D17" s="13">
        <v>0</v>
      </c>
      <c r="E17" s="14">
        <f t="shared" si="0"/>
        <v>225</v>
      </c>
      <c r="F17" s="14">
        <f t="shared" si="1"/>
        <v>625</v>
      </c>
      <c r="G17" s="13">
        <f t="shared" si="2"/>
        <v>225</v>
      </c>
      <c r="H17" s="14">
        <f t="shared" si="3"/>
        <v>625</v>
      </c>
      <c r="I17" s="13">
        <v>7500</v>
      </c>
      <c r="J17" s="32">
        <f t="shared" si="4"/>
        <v>0.03</v>
      </c>
    </row>
    <row r="18" spans="1:11" x14ac:dyDescent="0.2">
      <c r="A18" s="11" t="s">
        <v>9</v>
      </c>
      <c r="B18" s="13">
        <v>0</v>
      </c>
      <c r="C18" s="13">
        <v>1798.98</v>
      </c>
      <c r="D18" s="13">
        <v>0</v>
      </c>
      <c r="E18" s="14">
        <f t="shared" si="0"/>
        <v>1798.98</v>
      </c>
      <c r="F18" s="14">
        <f t="shared" si="1"/>
        <v>4166.666666666667</v>
      </c>
      <c r="G18" s="13">
        <f t="shared" si="2"/>
        <v>1798.98</v>
      </c>
      <c r="H18" s="14">
        <f t="shared" si="3"/>
        <v>4166.666666666667</v>
      </c>
      <c r="I18" s="13">
        <v>50000</v>
      </c>
      <c r="J18" s="32">
        <f t="shared" si="4"/>
        <v>3.59796E-2</v>
      </c>
    </row>
    <row r="19" spans="1:11" x14ac:dyDescent="0.2">
      <c r="A19" s="11" t="s">
        <v>10</v>
      </c>
      <c r="B19" s="13">
        <v>0</v>
      </c>
      <c r="C19" s="13">
        <v>53784.23</v>
      </c>
      <c r="D19" s="13">
        <v>0</v>
      </c>
      <c r="E19" s="14">
        <f t="shared" si="0"/>
        <v>53784.23</v>
      </c>
      <c r="F19" s="14">
        <f t="shared" si="1"/>
        <v>48666.666666666664</v>
      </c>
      <c r="G19" s="13">
        <f t="shared" si="2"/>
        <v>53784.23</v>
      </c>
      <c r="H19" s="14">
        <f t="shared" si="3"/>
        <v>48666.666666666664</v>
      </c>
      <c r="I19" s="13">
        <v>584000</v>
      </c>
      <c r="J19" s="32">
        <f t="shared" si="4"/>
        <v>9.2096284246575344E-2</v>
      </c>
    </row>
    <row r="20" spans="1:11" x14ac:dyDescent="0.2">
      <c r="A20" s="11" t="s">
        <v>11</v>
      </c>
      <c r="B20" s="13">
        <v>0</v>
      </c>
      <c r="C20" s="13">
        <v>7797.99</v>
      </c>
      <c r="D20" s="13">
        <v>0</v>
      </c>
      <c r="E20" s="14">
        <f t="shared" si="0"/>
        <v>7797.99</v>
      </c>
      <c r="F20" s="14">
        <f t="shared" si="1"/>
        <v>4583.333333333333</v>
      </c>
      <c r="G20" s="13">
        <f t="shared" si="2"/>
        <v>7797.99</v>
      </c>
      <c r="H20" s="14">
        <f t="shared" si="3"/>
        <v>4583.333333333333</v>
      </c>
      <c r="I20" s="13">
        <v>55000</v>
      </c>
      <c r="J20" s="33">
        <f t="shared" si="4"/>
        <v>0.14178163636363636</v>
      </c>
    </row>
    <row r="21" spans="1:11" x14ac:dyDescent="0.2">
      <c r="A21" s="11" t="s">
        <v>12</v>
      </c>
      <c r="B21" s="35">
        <f t="shared" ref="B21:I21" si="5">SUM(B9:B20)</f>
        <v>0</v>
      </c>
      <c r="C21" s="35">
        <f t="shared" si="5"/>
        <v>194302.91999999998</v>
      </c>
      <c r="D21" s="36">
        <f t="shared" si="5"/>
        <v>151362.08000000002</v>
      </c>
      <c r="E21" s="35">
        <f t="shared" si="5"/>
        <v>345664.99999999994</v>
      </c>
      <c r="F21" s="35">
        <f t="shared" si="5"/>
        <v>363791.66666666674</v>
      </c>
      <c r="G21" s="35">
        <f t="shared" si="5"/>
        <v>345664.99999999994</v>
      </c>
      <c r="H21" s="35">
        <f>SUM(H9:H20)</f>
        <v>363791.66666666674</v>
      </c>
      <c r="I21" s="36">
        <f t="shared" si="5"/>
        <v>4365500</v>
      </c>
      <c r="J21" s="40">
        <f t="shared" si="4"/>
        <v>7.9181078914213707E-2</v>
      </c>
      <c r="K21" s="2"/>
    </row>
    <row r="22" spans="1:11" x14ac:dyDescent="0.2">
      <c r="A22" s="11"/>
    </row>
    <row r="23" spans="1:11" x14ac:dyDescent="0.2">
      <c r="A23" s="11" t="s">
        <v>13</v>
      </c>
      <c r="B23" s="1" t="s">
        <v>57</v>
      </c>
      <c r="C23" t="s">
        <v>58</v>
      </c>
      <c r="D23" s="8" t="s">
        <v>59</v>
      </c>
      <c r="E23" s="1" t="s">
        <v>60</v>
      </c>
      <c r="F23" s="1" t="s">
        <v>61</v>
      </c>
      <c r="G23" s="1" t="s">
        <v>62</v>
      </c>
      <c r="H23" s="1" t="s">
        <v>62</v>
      </c>
      <c r="I23" s="8" t="s">
        <v>63</v>
      </c>
      <c r="J23" s="16">
        <f>+J6</f>
        <v>8.3299999999999999E-2</v>
      </c>
    </row>
    <row r="24" spans="1:11" x14ac:dyDescent="0.2">
      <c r="A24" s="11"/>
      <c r="B24" s="1"/>
      <c r="D24" s="8"/>
      <c r="E24" s="1" t="s">
        <v>68</v>
      </c>
      <c r="F24" s="1" t="s">
        <v>65</v>
      </c>
      <c r="G24" s="1" t="s">
        <v>68</v>
      </c>
      <c r="H24" s="1" t="s">
        <v>67</v>
      </c>
      <c r="I24" s="8" t="s">
        <v>67</v>
      </c>
      <c r="J24" s="17" t="s">
        <v>65</v>
      </c>
    </row>
    <row r="25" spans="1:11" x14ac:dyDescent="0.2">
      <c r="A25" s="11"/>
      <c r="B25" s="1"/>
      <c r="D25" s="8"/>
      <c r="E25" s="1"/>
      <c r="F25" s="1"/>
      <c r="G25" s="1"/>
      <c r="H25" s="1"/>
      <c r="I25" s="8"/>
      <c r="J25" s="17" t="s">
        <v>75</v>
      </c>
    </row>
    <row r="26" spans="1:11" x14ac:dyDescent="0.2">
      <c r="A26" s="11" t="s">
        <v>14</v>
      </c>
      <c r="B26" s="13">
        <v>23956.62</v>
      </c>
      <c r="C26" s="13">
        <v>30357</v>
      </c>
      <c r="D26" s="13">
        <v>15005.6</v>
      </c>
      <c r="E26" s="14">
        <f t="shared" ref="E26:E38" si="6">B26+C26+D26</f>
        <v>69319.22</v>
      </c>
      <c r="F26" s="14">
        <f t="shared" ref="F26:F38" si="7">I26/12</f>
        <v>84166.666666666672</v>
      </c>
      <c r="G26" s="13">
        <f>E26</f>
        <v>69319.22</v>
      </c>
      <c r="H26" s="14">
        <f>F26*1</f>
        <v>84166.666666666672</v>
      </c>
      <c r="I26" s="13">
        <v>1010000</v>
      </c>
      <c r="J26" s="34">
        <f t="shared" ref="J26:J38" si="8">+G26/I26</f>
        <v>6.8632891089108916E-2</v>
      </c>
    </row>
    <row r="27" spans="1:11" x14ac:dyDescent="0.2">
      <c r="A27" s="11" t="s">
        <v>15</v>
      </c>
      <c r="B27" s="13">
        <v>1967.64</v>
      </c>
      <c r="C27" s="13">
        <v>2718.88</v>
      </c>
      <c r="D27" s="13">
        <v>1225.0999999999999</v>
      </c>
      <c r="E27" s="14">
        <f t="shared" si="6"/>
        <v>5911.6200000000008</v>
      </c>
      <c r="F27" s="14">
        <f t="shared" si="7"/>
        <v>6666.666666666667</v>
      </c>
      <c r="G27" s="13">
        <f t="shared" ref="G27:G38" si="9">E27</f>
        <v>5911.6200000000008</v>
      </c>
      <c r="H27" s="14">
        <f t="shared" ref="H27:H38" si="10">F27*1</f>
        <v>6666.666666666667</v>
      </c>
      <c r="I27" s="13">
        <v>80000</v>
      </c>
      <c r="J27" s="34">
        <f t="shared" si="8"/>
        <v>7.389525000000001E-2</v>
      </c>
    </row>
    <row r="28" spans="1:11" x14ac:dyDescent="0.2">
      <c r="A28" s="11" t="s">
        <v>16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625</v>
      </c>
      <c r="G28" s="13">
        <f t="shared" si="9"/>
        <v>0</v>
      </c>
      <c r="H28" s="14">
        <f t="shared" si="10"/>
        <v>625</v>
      </c>
      <c r="I28" s="13">
        <v>7500</v>
      </c>
      <c r="J28" s="34">
        <f t="shared" si="8"/>
        <v>0</v>
      </c>
    </row>
    <row r="29" spans="1:11" x14ac:dyDescent="0.2">
      <c r="A29" s="11" t="s">
        <v>17</v>
      </c>
      <c r="B29" s="13">
        <v>2031.36</v>
      </c>
      <c r="C29" s="13">
        <v>751.96</v>
      </c>
      <c r="D29" s="13">
        <v>1094.8</v>
      </c>
      <c r="E29" s="14">
        <f t="shared" si="6"/>
        <v>3878.12</v>
      </c>
      <c r="F29" s="14">
        <f t="shared" si="7"/>
        <v>3600</v>
      </c>
      <c r="G29" s="13">
        <f t="shared" si="9"/>
        <v>3878.12</v>
      </c>
      <c r="H29" s="14">
        <f t="shared" si="10"/>
        <v>3600</v>
      </c>
      <c r="I29" s="13">
        <v>43200</v>
      </c>
      <c r="J29" s="34">
        <f t="shared" si="8"/>
        <v>8.9771296296296293E-2</v>
      </c>
    </row>
    <row r="30" spans="1:11" x14ac:dyDescent="0.2">
      <c r="A30" s="11" t="s">
        <v>18</v>
      </c>
      <c r="B30" s="13">
        <v>0</v>
      </c>
      <c r="C30" s="13">
        <v>0</v>
      </c>
      <c r="D30" s="13">
        <v>0</v>
      </c>
      <c r="E30" s="14">
        <f t="shared" si="6"/>
        <v>0</v>
      </c>
      <c r="F30" s="14">
        <f t="shared" si="7"/>
        <v>8750</v>
      </c>
      <c r="G30" s="13">
        <f t="shared" si="9"/>
        <v>0</v>
      </c>
      <c r="H30" s="14">
        <f t="shared" si="10"/>
        <v>8750</v>
      </c>
      <c r="I30" s="13">
        <v>105000</v>
      </c>
      <c r="J30" s="34">
        <f t="shared" si="8"/>
        <v>0</v>
      </c>
    </row>
    <row r="31" spans="1:11" x14ac:dyDescent="0.2">
      <c r="A31" s="11" t="s">
        <v>19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833.33333333333337</v>
      </c>
      <c r="G31" s="13">
        <f t="shared" si="9"/>
        <v>0</v>
      </c>
      <c r="H31" s="14">
        <f t="shared" si="10"/>
        <v>833.33333333333337</v>
      </c>
      <c r="I31" s="13">
        <f>10000</f>
        <v>10000</v>
      </c>
      <c r="J31" s="34">
        <f t="shared" si="8"/>
        <v>0</v>
      </c>
    </row>
    <row r="32" spans="1:11" x14ac:dyDescent="0.2">
      <c r="A32" s="11" t="s">
        <v>20</v>
      </c>
      <c r="B32" s="13">
        <v>0</v>
      </c>
      <c r="C32" s="13">
        <v>0</v>
      </c>
      <c r="D32" s="13">
        <v>0</v>
      </c>
      <c r="E32" s="14">
        <f t="shared" si="6"/>
        <v>0</v>
      </c>
      <c r="F32" s="14">
        <f t="shared" si="7"/>
        <v>2083.3333333333335</v>
      </c>
      <c r="G32" s="13">
        <f t="shared" si="9"/>
        <v>0</v>
      </c>
      <c r="H32" s="14">
        <f t="shared" si="10"/>
        <v>2083.3333333333335</v>
      </c>
      <c r="I32" s="13">
        <v>25000</v>
      </c>
      <c r="J32" s="34">
        <f t="shared" si="8"/>
        <v>0</v>
      </c>
    </row>
    <row r="33" spans="1:19" x14ac:dyDescent="0.2">
      <c r="A33" s="11" t="s">
        <v>21</v>
      </c>
      <c r="B33" s="13">
        <v>0</v>
      </c>
      <c r="C33" s="13">
        <v>0</v>
      </c>
      <c r="D33" s="13">
        <v>0</v>
      </c>
      <c r="E33" s="14">
        <f t="shared" si="6"/>
        <v>0</v>
      </c>
      <c r="F33" s="14">
        <f t="shared" si="7"/>
        <v>1750</v>
      </c>
      <c r="G33" s="13">
        <f t="shared" si="9"/>
        <v>0</v>
      </c>
      <c r="H33" s="14">
        <f t="shared" si="10"/>
        <v>1750</v>
      </c>
      <c r="I33" s="13">
        <v>21000</v>
      </c>
      <c r="J33" s="34">
        <f t="shared" si="8"/>
        <v>0</v>
      </c>
    </row>
    <row r="34" spans="1:19" x14ac:dyDescent="0.2">
      <c r="A34" s="11" t="s">
        <v>22</v>
      </c>
      <c r="B34" s="13">
        <v>0</v>
      </c>
      <c r="C34" s="13">
        <v>412.88</v>
      </c>
      <c r="D34" s="13">
        <v>371.93</v>
      </c>
      <c r="E34" s="14">
        <f t="shared" si="6"/>
        <v>784.81</v>
      </c>
      <c r="F34" s="14">
        <f t="shared" si="7"/>
        <v>2666.6666666666665</v>
      </c>
      <c r="G34" s="13">
        <f t="shared" si="9"/>
        <v>784.81</v>
      </c>
      <c r="H34" s="14">
        <f t="shared" si="10"/>
        <v>2666.6666666666665</v>
      </c>
      <c r="I34" s="13">
        <v>32000</v>
      </c>
      <c r="J34" s="34">
        <f t="shared" si="8"/>
        <v>2.4525312499999997E-2</v>
      </c>
    </row>
    <row r="35" spans="1:19" x14ac:dyDescent="0.2">
      <c r="A35" s="11" t="s">
        <v>23</v>
      </c>
      <c r="B35" s="13">
        <v>15.42</v>
      </c>
      <c r="C35" s="13">
        <v>4926.2299999999996</v>
      </c>
      <c r="D35" s="13">
        <v>4926.22</v>
      </c>
      <c r="E35" s="14">
        <f t="shared" si="6"/>
        <v>9867.869999999999</v>
      </c>
      <c r="F35" s="14">
        <f t="shared" si="7"/>
        <v>10833.333333333334</v>
      </c>
      <c r="G35" s="13">
        <f t="shared" si="9"/>
        <v>9867.869999999999</v>
      </c>
      <c r="H35" s="14">
        <f t="shared" si="10"/>
        <v>10833.333333333334</v>
      </c>
      <c r="I35" s="13">
        <v>130000</v>
      </c>
      <c r="J35" s="34">
        <f t="shared" si="8"/>
        <v>7.59066923076923E-2</v>
      </c>
    </row>
    <row r="36" spans="1:19" x14ac:dyDescent="0.2">
      <c r="A36" s="11" t="s">
        <v>24</v>
      </c>
      <c r="B36" s="13">
        <v>0</v>
      </c>
      <c r="C36" s="13">
        <v>0</v>
      </c>
      <c r="D36" s="13">
        <v>0</v>
      </c>
      <c r="E36" s="14">
        <f t="shared" si="6"/>
        <v>0</v>
      </c>
      <c r="F36" s="14">
        <f t="shared" si="7"/>
        <v>1666.6666666666667</v>
      </c>
      <c r="G36" s="13">
        <f t="shared" si="9"/>
        <v>0</v>
      </c>
      <c r="H36" s="14">
        <f t="shared" si="10"/>
        <v>1666.6666666666667</v>
      </c>
      <c r="I36" s="13">
        <v>20000</v>
      </c>
      <c r="J36" s="34">
        <f t="shared" si="8"/>
        <v>0</v>
      </c>
    </row>
    <row r="37" spans="1:19" x14ac:dyDescent="0.2">
      <c r="A37" s="11" t="s">
        <v>25</v>
      </c>
      <c r="B37" s="13">
        <v>0</v>
      </c>
      <c r="C37" s="13">
        <v>0</v>
      </c>
      <c r="D37" s="13">
        <v>0</v>
      </c>
      <c r="E37" s="14">
        <f t="shared" si="6"/>
        <v>0</v>
      </c>
      <c r="F37" s="14">
        <f t="shared" si="7"/>
        <v>250</v>
      </c>
      <c r="G37" s="13">
        <f t="shared" si="9"/>
        <v>0</v>
      </c>
      <c r="H37" s="14">
        <f t="shared" si="10"/>
        <v>250</v>
      </c>
      <c r="I37" s="13">
        <f>1500+1500</f>
        <v>3000</v>
      </c>
      <c r="J37" s="34">
        <f t="shared" si="8"/>
        <v>0</v>
      </c>
    </row>
    <row r="38" spans="1:19" x14ac:dyDescent="0.2">
      <c r="A38" s="11" t="s">
        <v>26</v>
      </c>
      <c r="B38" s="13">
        <v>0</v>
      </c>
      <c r="C38" s="13">
        <v>0</v>
      </c>
      <c r="D38" s="13">
        <v>8425</v>
      </c>
      <c r="E38" s="14">
        <f t="shared" si="6"/>
        <v>8425</v>
      </c>
      <c r="F38" s="14">
        <f t="shared" si="7"/>
        <v>30833.333333333332</v>
      </c>
      <c r="G38" s="13">
        <f t="shared" si="9"/>
        <v>8425</v>
      </c>
      <c r="H38" s="14">
        <f t="shared" si="10"/>
        <v>30833.333333333332</v>
      </c>
      <c r="I38" s="13">
        <v>370000</v>
      </c>
      <c r="J38" s="34">
        <f t="shared" si="8"/>
        <v>2.277027027027027E-2</v>
      </c>
    </row>
    <row r="39" spans="1:19" x14ac:dyDescent="0.2">
      <c r="A39" s="11"/>
      <c r="B39" s="14"/>
      <c r="C39" s="13"/>
      <c r="D39" s="13"/>
      <c r="E39" s="14"/>
      <c r="F39" s="14"/>
      <c r="G39" s="14"/>
      <c r="H39" s="14"/>
      <c r="I39" s="13"/>
    </row>
    <row r="40" spans="1:19" x14ac:dyDescent="0.2">
      <c r="A40" s="11"/>
      <c r="B40" s="2"/>
      <c r="C40" s="6"/>
      <c r="D40" s="6"/>
      <c r="E40" s="2"/>
      <c r="F40" s="2"/>
      <c r="G40" s="2"/>
      <c r="H40" s="2"/>
      <c r="I40" s="6"/>
    </row>
    <row r="41" spans="1:19" x14ac:dyDescent="0.2">
      <c r="A41" s="11"/>
      <c r="B41" s="1"/>
      <c r="C41" s="7"/>
      <c r="D41" s="8"/>
      <c r="E41" s="1"/>
      <c r="F41" s="1"/>
      <c r="G41" s="1"/>
      <c r="H41" s="1"/>
      <c r="I41" s="8"/>
      <c r="K41" s="1"/>
      <c r="L41" s="1"/>
      <c r="N41" s="1"/>
      <c r="O41" s="1"/>
      <c r="P41" s="1"/>
      <c r="Q41" s="1"/>
      <c r="R41" s="1"/>
      <c r="S41" s="1"/>
    </row>
    <row r="42" spans="1:19" x14ac:dyDescent="0.2">
      <c r="A42" s="11"/>
      <c r="B42" s="2"/>
      <c r="C42" s="6"/>
      <c r="D42" s="6"/>
      <c r="E42" s="2"/>
      <c r="F42" s="2"/>
      <c r="G42" s="2"/>
      <c r="H42" s="2"/>
      <c r="I42" s="6"/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1" t="s">
        <v>60</v>
      </c>
      <c r="F43" s="1" t="s">
        <v>61</v>
      </c>
      <c r="G43" s="1" t="s">
        <v>62</v>
      </c>
      <c r="H43" s="1" t="s">
        <v>62</v>
      </c>
      <c r="I43" s="8" t="s">
        <v>63</v>
      </c>
      <c r="J43" s="16">
        <f>+J6</f>
        <v>8.3299999999999999E-2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/>
      <c r="B44" s="1"/>
      <c r="C44" s="7"/>
      <c r="D44" s="8"/>
      <c r="E44" s="1" t="s">
        <v>68</v>
      </c>
      <c r="F44" s="1" t="s">
        <v>65</v>
      </c>
      <c r="G44" s="1" t="s">
        <v>68</v>
      </c>
      <c r="H44" s="1" t="s">
        <v>67</v>
      </c>
      <c r="I44" s="8" t="s">
        <v>67</v>
      </c>
      <c r="J44" s="17" t="s">
        <v>65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/>
      <c r="B45" s="1"/>
      <c r="C45" s="7"/>
      <c r="D45" s="8"/>
      <c r="E45" s="1"/>
      <c r="F45" s="1"/>
      <c r="G45" s="1"/>
      <c r="H45" s="1"/>
      <c r="I45" s="8"/>
      <c r="J45" s="17" t="s">
        <v>75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27</v>
      </c>
      <c r="B46" s="6">
        <v>4813.6400000000003</v>
      </c>
      <c r="C46" s="6">
        <v>7921.7</v>
      </c>
      <c r="D46" s="6">
        <v>4376.5600000000004</v>
      </c>
      <c r="E46" s="2">
        <f t="shared" ref="E46:E72" si="11">B46+C46+D46</f>
        <v>17111.900000000001</v>
      </c>
      <c r="F46" s="2">
        <f t="shared" ref="F46:F48" si="12">I46/12</f>
        <v>16500</v>
      </c>
      <c r="G46" s="6">
        <f>E46</f>
        <v>17111.900000000001</v>
      </c>
      <c r="H46" s="2">
        <f>F46*1</f>
        <v>16500</v>
      </c>
      <c r="I46" s="6">
        <v>198000</v>
      </c>
      <c r="J46" s="34">
        <f t="shared" ref="J46:J73" si="13">+G46/I46</f>
        <v>8.6423737373737375E-2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28</v>
      </c>
      <c r="B47" s="13">
        <v>29284.33</v>
      </c>
      <c r="C47" s="13">
        <v>130473.34</v>
      </c>
      <c r="D47" s="13">
        <v>130473.33</v>
      </c>
      <c r="E47" s="14">
        <f t="shared" si="11"/>
        <v>290231</v>
      </c>
      <c r="F47" s="14">
        <f t="shared" si="12"/>
        <v>25520.833333333332</v>
      </c>
      <c r="G47" s="13">
        <f t="shared" ref="G47:G72" si="14">E47</f>
        <v>290231</v>
      </c>
      <c r="H47" s="14">
        <f t="shared" ref="H47:H72" si="15">F47*1</f>
        <v>25520.833333333332</v>
      </c>
      <c r="I47" s="13">
        <v>306250</v>
      </c>
      <c r="J47" s="34">
        <f t="shared" si="13"/>
        <v>0.94769306122448982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29</v>
      </c>
      <c r="B48" s="13">
        <v>0</v>
      </c>
      <c r="C48" s="13">
        <v>248</v>
      </c>
      <c r="D48" s="13">
        <v>0</v>
      </c>
      <c r="E48" s="14">
        <f t="shared" si="11"/>
        <v>248</v>
      </c>
      <c r="F48" s="14">
        <f t="shared" si="12"/>
        <v>416.66666666666669</v>
      </c>
      <c r="G48" s="13">
        <f t="shared" si="14"/>
        <v>248</v>
      </c>
      <c r="H48" s="14">
        <f t="shared" si="15"/>
        <v>416.66666666666669</v>
      </c>
      <c r="I48" s="13">
        <f>2500+2500</f>
        <v>5000</v>
      </c>
      <c r="J48" s="34">
        <f t="shared" si="13"/>
        <v>4.9599999999999998E-2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30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>I49/12</f>
        <v>1333.3333333333333</v>
      </c>
      <c r="G49" s="13">
        <f t="shared" si="14"/>
        <v>0</v>
      </c>
      <c r="H49" s="14">
        <f t="shared" si="15"/>
        <v>1333.3333333333333</v>
      </c>
      <c r="I49" s="13">
        <f>8000+8000</f>
        <v>16000</v>
      </c>
      <c r="J49" s="34">
        <f t="shared" si="13"/>
        <v>0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32</v>
      </c>
      <c r="B50" s="13">
        <v>0</v>
      </c>
      <c r="C50" s="13">
        <v>0</v>
      </c>
      <c r="D50" s="13">
        <v>0</v>
      </c>
      <c r="E50" s="14">
        <f t="shared" si="11"/>
        <v>0</v>
      </c>
      <c r="F50" s="14">
        <f t="shared" ref="F50:F72" si="16">I50/12</f>
        <v>6500</v>
      </c>
      <c r="G50" s="13">
        <f t="shared" si="14"/>
        <v>0</v>
      </c>
      <c r="H50" s="14">
        <f t="shared" si="15"/>
        <v>6500</v>
      </c>
      <c r="I50" s="13">
        <v>78000</v>
      </c>
      <c r="J50" s="34">
        <f t="shared" si="13"/>
        <v>0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33</v>
      </c>
      <c r="B51" s="13">
        <v>0</v>
      </c>
      <c r="C51" s="13">
        <v>0</v>
      </c>
      <c r="D51" s="13">
        <v>0</v>
      </c>
      <c r="E51" s="14">
        <f t="shared" si="11"/>
        <v>0</v>
      </c>
      <c r="F51" s="14">
        <f t="shared" si="16"/>
        <v>750</v>
      </c>
      <c r="G51" s="13">
        <f t="shared" si="14"/>
        <v>0</v>
      </c>
      <c r="H51" s="14">
        <f t="shared" si="15"/>
        <v>750</v>
      </c>
      <c r="I51" s="13">
        <v>9000</v>
      </c>
      <c r="J51" s="34">
        <f t="shared" si="13"/>
        <v>0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34</v>
      </c>
      <c r="B52" s="13">
        <v>0</v>
      </c>
      <c r="C52" s="13">
        <v>521.4</v>
      </c>
      <c r="D52" s="13">
        <v>376.6</v>
      </c>
      <c r="E52" s="14">
        <f t="shared" si="11"/>
        <v>898</v>
      </c>
      <c r="F52" s="14">
        <f t="shared" si="16"/>
        <v>1250</v>
      </c>
      <c r="G52" s="13">
        <f t="shared" si="14"/>
        <v>898</v>
      </c>
      <c r="H52" s="14">
        <f t="shared" si="15"/>
        <v>1250</v>
      </c>
      <c r="I52" s="13">
        <v>15000</v>
      </c>
      <c r="J52" s="34">
        <f t="shared" si="13"/>
        <v>5.9866666666666665E-2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35</v>
      </c>
      <c r="B53" s="13">
        <v>0</v>
      </c>
      <c r="C53" s="13">
        <v>2869.15</v>
      </c>
      <c r="D53" s="13">
        <v>984.94</v>
      </c>
      <c r="E53" s="14">
        <f t="shared" si="11"/>
        <v>3854.09</v>
      </c>
      <c r="F53" s="14">
        <f t="shared" si="16"/>
        <v>13750</v>
      </c>
      <c r="G53" s="13">
        <f t="shared" si="14"/>
        <v>3854.09</v>
      </c>
      <c r="H53" s="14">
        <f t="shared" si="15"/>
        <v>13750</v>
      </c>
      <c r="I53" s="13">
        <v>165000</v>
      </c>
      <c r="J53" s="34">
        <f t="shared" si="13"/>
        <v>2.3358121212121212E-2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36</v>
      </c>
      <c r="B54" s="13">
        <v>0</v>
      </c>
      <c r="C54" s="13">
        <v>79793.679999999993</v>
      </c>
      <c r="D54" s="13">
        <v>0</v>
      </c>
      <c r="E54" s="14">
        <f t="shared" si="11"/>
        <v>79793.679999999993</v>
      </c>
      <c r="F54" s="14">
        <f t="shared" si="16"/>
        <v>91666.666666666672</v>
      </c>
      <c r="G54" s="13">
        <f t="shared" si="14"/>
        <v>79793.679999999993</v>
      </c>
      <c r="H54" s="14">
        <f t="shared" si="15"/>
        <v>91666.666666666672</v>
      </c>
      <c r="I54" s="13">
        <v>1100000</v>
      </c>
      <c r="J54" s="34">
        <f t="shared" si="13"/>
        <v>7.253970909090908E-2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37</v>
      </c>
      <c r="B55" s="13">
        <v>0</v>
      </c>
      <c r="C55" s="13">
        <v>0</v>
      </c>
      <c r="D55" s="13">
        <v>0</v>
      </c>
      <c r="E55" s="14">
        <f t="shared" si="11"/>
        <v>0</v>
      </c>
      <c r="F55" s="14">
        <f t="shared" si="16"/>
        <v>875</v>
      </c>
      <c r="G55" s="13">
        <f t="shared" si="14"/>
        <v>0</v>
      </c>
      <c r="H55" s="14">
        <f t="shared" si="15"/>
        <v>875</v>
      </c>
      <c r="I55" s="13">
        <v>10500</v>
      </c>
      <c r="J55" s="34">
        <f t="shared" si="13"/>
        <v>0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38</v>
      </c>
      <c r="B56" s="13">
        <v>0</v>
      </c>
      <c r="C56" s="13">
        <v>4949</v>
      </c>
      <c r="D56" s="13">
        <v>0</v>
      </c>
      <c r="E56" s="14">
        <f t="shared" si="11"/>
        <v>4949</v>
      </c>
      <c r="F56" s="14">
        <f t="shared" si="16"/>
        <v>3333.3333333333335</v>
      </c>
      <c r="G56" s="13">
        <f t="shared" si="14"/>
        <v>4949</v>
      </c>
      <c r="H56" s="14">
        <f t="shared" si="15"/>
        <v>3333.3333333333335</v>
      </c>
      <c r="I56" s="13">
        <v>40000</v>
      </c>
      <c r="J56" s="34">
        <f t="shared" si="13"/>
        <v>0.123725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39</v>
      </c>
      <c r="B57" s="13">
        <v>0</v>
      </c>
      <c r="C57" s="13">
        <v>24.58</v>
      </c>
      <c r="D57" s="13">
        <v>0</v>
      </c>
      <c r="E57" s="14">
        <f t="shared" si="11"/>
        <v>24.58</v>
      </c>
      <c r="F57" s="14">
        <f t="shared" si="16"/>
        <v>625</v>
      </c>
      <c r="G57" s="13">
        <f t="shared" si="14"/>
        <v>24.58</v>
      </c>
      <c r="H57" s="14">
        <f t="shared" si="15"/>
        <v>625</v>
      </c>
      <c r="I57" s="13">
        <v>7500</v>
      </c>
      <c r="J57" s="34">
        <f t="shared" si="13"/>
        <v>3.2773333333333331E-3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40</v>
      </c>
      <c r="B58" s="13">
        <v>834</v>
      </c>
      <c r="C58" s="13">
        <v>360.5</v>
      </c>
      <c r="D58" s="13">
        <v>0</v>
      </c>
      <c r="E58" s="14">
        <f t="shared" si="11"/>
        <v>1194.5</v>
      </c>
      <c r="F58" s="14">
        <f t="shared" si="16"/>
        <v>875</v>
      </c>
      <c r="G58" s="13">
        <f t="shared" si="14"/>
        <v>1194.5</v>
      </c>
      <c r="H58" s="14">
        <f t="shared" si="15"/>
        <v>875</v>
      </c>
      <c r="I58" s="13">
        <v>10500</v>
      </c>
      <c r="J58" s="34">
        <f t="shared" si="13"/>
        <v>0.11376190476190476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41</v>
      </c>
      <c r="B59" s="13">
        <v>2806.3</v>
      </c>
      <c r="C59" s="13">
        <v>515.91999999999996</v>
      </c>
      <c r="D59" s="13">
        <v>0</v>
      </c>
      <c r="E59" s="14">
        <f t="shared" si="11"/>
        <v>3322.2200000000003</v>
      </c>
      <c r="F59" s="14">
        <f t="shared" si="16"/>
        <v>2500</v>
      </c>
      <c r="G59" s="13">
        <f t="shared" si="14"/>
        <v>3322.2200000000003</v>
      </c>
      <c r="H59" s="14">
        <f t="shared" si="15"/>
        <v>2500</v>
      </c>
      <c r="I59" s="13">
        <v>30000</v>
      </c>
      <c r="J59" s="34">
        <f t="shared" si="13"/>
        <v>0.11074066666666668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42</v>
      </c>
      <c r="B60" s="13">
        <v>0</v>
      </c>
      <c r="C60" s="13">
        <v>0</v>
      </c>
      <c r="D60" s="13">
        <v>0</v>
      </c>
      <c r="E60" s="14">
        <f t="shared" si="11"/>
        <v>0</v>
      </c>
      <c r="F60" s="14">
        <f t="shared" si="16"/>
        <v>13333.333333333334</v>
      </c>
      <c r="G60" s="13">
        <f t="shared" si="14"/>
        <v>0</v>
      </c>
      <c r="H60" s="14">
        <f t="shared" si="15"/>
        <v>13333.333333333334</v>
      </c>
      <c r="I60" s="13">
        <v>160000</v>
      </c>
      <c r="J60" s="34">
        <f t="shared" si="13"/>
        <v>0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43</v>
      </c>
      <c r="B61" s="13">
        <v>0</v>
      </c>
      <c r="C61" s="13">
        <v>3472.74</v>
      </c>
      <c r="D61" s="13">
        <v>0</v>
      </c>
      <c r="E61" s="14">
        <f t="shared" si="11"/>
        <v>3472.74</v>
      </c>
      <c r="F61" s="14">
        <f t="shared" si="16"/>
        <v>3333.3333333333335</v>
      </c>
      <c r="G61" s="13">
        <f t="shared" si="14"/>
        <v>3472.74</v>
      </c>
      <c r="H61" s="14">
        <f t="shared" si="15"/>
        <v>3333.3333333333335</v>
      </c>
      <c r="I61" s="13">
        <v>40000</v>
      </c>
      <c r="J61" s="34">
        <f t="shared" si="13"/>
        <v>8.6818499999999993E-2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44</v>
      </c>
      <c r="B62" s="13">
        <v>0</v>
      </c>
      <c r="C62" s="13">
        <v>22802</v>
      </c>
      <c r="D62" s="13">
        <v>0</v>
      </c>
      <c r="E62" s="14">
        <f t="shared" si="11"/>
        <v>22802</v>
      </c>
      <c r="F62" s="14">
        <f t="shared" si="16"/>
        <v>1583.3333333333333</v>
      </c>
      <c r="G62" s="13">
        <f t="shared" si="14"/>
        <v>22802</v>
      </c>
      <c r="H62" s="14">
        <f t="shared" si="15"/>
        <v>1583.3333333333333</v>
      </c>
      <c r="I62" s="13">
        <v>19000</v>
      </c>
      <c r="J62" s="34">
        <f t="shared" si="13"/>
        <v>1.2001052631578948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45</v>
      </c>
      <c r="B63" s="13">
        <v>0</v>
      </c>
      <c r="C63" s="13">
        <v>1440.04</v>
      </c>
      <c r="D63" s="13">
        <v>0</v>
      </c>
      <c r="E63" s="14">
        <f t="shared" si="11"/>
        <v>1440.04</v>
      </c>
      <c r="F63" s="14">
        <f t="shared" si="16"/>
        <v>1416.6666666666667</v>
      </c>
      <c r="G63" s="13">
        <f t="shared" si="14"/>
        <v>1440.04</v>
      </c>
      <c r="H63" s="14">
        <f t="shared" si="15"/>
        <v>1416.6666666666667</v>
      </c>
      <c r="I63" s="13">
        <v>17000</v>
      </c>
      <c r="J63" s="34">
        <f t="shared" si="13"/>
        <v>8.470823529411764E-2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46</v>
      </c>
      <c r="B64" s="13">
        <v>0</v>
      </c>
      <c r="C64" s="13">
        <v>0</v>
      </c>
      <c r="D64" s="13">
        <v>0</v>
      </c>
      <c r="E64" s="14">
        <f t="shared" si="11"/>
        <v>0</v>
      </c>
      <c r="F64" s="14">
        <f t="shared" si="16"/>
        <v>1666.6666666666667</v>
      </c>
      <c r="G64" s="13">
        <f t="shared" si="14"/>
        <v>0</v>
      </c>
      <c r="H64" s="14">
        <f t="shared" si="15"/>
        <v>1666.6666666666667</v>
      </c>
      <c r="I64" s="13">
        <v>20000</v>
      </c>
      <c r="J64" s="34">
        <f t="shared" si="13"/>
        <v>0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47</v>
      </c>
      <c r="B65" s="13">
        <v>11240.36</v>
      </c>
      <c r="C65" s="13">
        <v>0</v>
      </c>
      <c r="D65" s="13">
        <v>0</v>
      </c>
      <c r="E65" s="14">
        <f t="shared" si="11"/>
        <v>11240.36</v>
      </c>
      <c r="F65" s="14">
        <f t="shared" si="16"/>
        <v>12541.666666666666</v>
      </c>
      <c r="G65" s="13">
        <f t="shared" si="14"/>
        <v>11240.36</v>
      </c>
      <c r="H65" s="14">
        <f t="shared" si="15"/>
        <v>12541.666666666666</v>
      </c>
      <c r="I65" s="13">
        <v>150500</v>
      </c>
      <c r="J65" s="34">
        <f t="shared" si="13"/>
        <v>7.4686777408637883E-2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48</v>
      </c>
      <c r="B66" s="13">
        <v>0</v>
      </c>
      <c r="C66" s="13">
        <v>0</v>
      </c>
      <c r="D66" s="13">
        <v>0</v>
      </c>
      <c r="E66" s="14">
        <f t="shared" si="11"/>
        <v>0</v>
      </c>
      <c r="F66" s="14">
        <f t="shared" si="16"/>
        <v>83.333333333333329</v>
      </c>
      <c r="G66" s="13">
        <f t="shared" si="14"/>
        <v>0</v>
      </c>
      <c r="H66" s="14">
        <f t="shared" si="15"/>
        <v>83.333333333333329</v>
      </c>
      <c r="I66" s="13">
        <v>1000</v>
      </c>
      <c r="J66" s="34">
        <f t="shared" si="13"/>
        <v>0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49</v>
      </c>
      <c r="B67" s="13">
        <v>0</v>
      </c>
      <c r="C67" s="13">
        <v>0</v>
      </c>
      <c r="D67" s="13">
        <v>0</v>
      </c>
      <c r="E67" s="14">
        <f t="shared" si="11"/>
        <v>0</v>
      </c>
      <c r="F67" s="14">
        <f t="shared" si="16"/>
        <v>208.33333333333334</v>
      </c>
      <c r="G67" s="13">
        <f t="shared" si="14"/>
        <v>0</v>
      </c>
      <c r="H67" s="14">
        <f t="shared" si="15"/>
        <v>208.33333333333334</v>
      </c>
      <c r="I67" s="13">
        <v>2500</v>
      </c>
      <c r="J67" s="34">
        <f t="shared" si="13"/>
        <v>0</v>
      </c>
      <c r="K67" s="1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11" t="s">
        <v>50</v>
      </c>
      <c r="B68" s="13">
        <v>0</v>
      </c>
      <c r="C68" s="13">
        <v>0</v>
      </c>
      <c r="D68" s="13">
        <v>0</v>
      </c>
      <c r="E68" s="14">
        <f t="shared" si="11"/>
        <v>0</v>
      </c>
      <c r="F68" s="14">
        <f t="shared" si="16"/>
        <v>2500</v>
      </c>
      <c r="G68" s="13">
        <f t="shared" si="14"/>
        <v>0</v>
      </c>
      <c r="H68" s="14">
        <f t="shared" si="15"/>
        <v>2500</v>
      </c>
      <c r="I68" s="13">
        <v>30000</v>
      </c>
      <c r="J68" s="34">
        <f t="shared" si="13"/>
        <v>0</v>
      </c>
      <c r="K68" s="1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11" t="s">
        <v>52</v>
      </c>
      <c r="B69" s="13">
        <v>0</v>
      </c>
      <c r="C69" s="13">
        <v>3411.41</v>
      </c>
      <c r="D69" s="13">
        <v>0</v>
      </c>
      <c r="E69" s="14">
        <f t="shared" si="11"/>
        <v>3411.41</v>
      </c>
      <c r="F69" s="14">
        <f t="shared" si="16"/>
        <v>4000</v>
      </c>
      <c r="G69" s="13">
        <f t="shared" si="14"/>
        <v>3411.41</v>
      </c>
      <c r="H69" s="14">
        <f t="shared" si="15"/>
        <v>4000</v>
      </c>
      <c r="I69" s="13">
        <v>48000</v>
      </c>
      <c r="J69" s="34">
        <f t="shared" si="13"/>
        <v>7.1071041666666668E-2</v>
      </c>
      <c r="K69" s="1"/>
      <c r="L69" s="2"/>
      <c r="M69" s="2"/>
      <c r="N69" s="2"/>
      <c r="O69" s="3"/>
      <c r="Q69" s="3"/>
    </row>
    <row r="70" spans="1:19" x14ac:dyDescent="0.2">
      <c r="A70" s="11" t="s">
        <v>53</v>
      </c>
      <c r="B70" s="13">
        <v>0</v>
      </c>
      <c r="C70" s="13">
        <v>281.23</v>
      </c>
      <c r="D70" s="13">
        <v>0</v>
      </c>
      <c r="E70" s="14">
        <f t="shared" si="11"/>
        <v>281.23</v>
      </c>
      <c r="F70" s="14">
        <f t="shared" si="16"/>
        <v>833.33333333333337</v>
      </c>
      <c r="G70" s="13">
        <f t="shared" si="14"/>
        <v>281.23</v>
      </c>
      <c r="H70" s="14">
        <f t="shared" si="15"/>
        <v>833.33333333333337</v>
      </c>
      <c r="I70" s="13">
        <v>10000</v>
      </c>
      <c r="J70" s="34">
        <f t="shared" si="13"/>
        <v>2.8123000000000002E-2</v>
      </c>
    </row>
    <row r="71" spans="1:19" x14ac:dyDescent="0.2">
      <c r="A71" s="11" t="s">
        <v>54</v>
      </c>
      <c r="B71" s="13">
        <v>0</v>
      </c>
      <c r="C71" s="13">
        <v>0</v>
      </c>
      <c r="D71" s="13">
        <v>0</v>
      </c>
      <c r="E71" s="14">
        <f t="shared" si="11"/>
        <v>0</v>
      </c>
      <c r="F71" s="14">
        <f t="shared" si="16"/>
        <v>4.166666666666667</v>
      </c>
      <c r="G71" s="13">
        <f t="shared" si="14"/>
        <v>0</v>
      </c>
      <c r="H71" s="14">
        <f t="shared" si="15"/>
        <v>4.166666666666667</v>
      </c>
      <c r="I71" s="13">
        <v>50</v>
      </c>
      <c r="J71" s="34">
        <f t="shared" si="13"/>
        <v>0</v>
      </c>
    </row>
    <row r="72" spans="1:19" x14ac:dyDescent="0.2">
      <c r="A72" s="11" t="s">
        <v>72</v>
      </c>
      <c r="B72" s="13">
        <v>0</v>
      </c>
      <c r="C72" s="13">
        <v>0</v>
      </c>
      <c r="D72" s="13">
        <v>0</v>
      </c>
      <c r="E72" s="14">
        <f t="shared" si="11"/>
        <v>0</v>
      </c>
      <c r="F72" s="14">
        <f t="shared" si="16"/>
        <v>1666.6666666666667</v>
      </c>
      <c r="G72" s="13">
        <f t="shared" si="14"/>
        <v>0</v>
      </c>
      <c r="H72" s="14">
        <f t="shared" si="15"/>
        <v>1666.6666666666667</v>
      </c>
      <c r="I72" s="13">
        <v>20000</v>
      </c>
      <c r="J72" s="33">
        <f t="shared" si="13"/>
        <v>0</v>
      </c>
    </row>
    <row r="73" spans="1:19" x14ac:dyDescent="0.2">
      <c r="A73" s="11" t="s">
        <v>55</v>
      </c>
      <c r="B73" s="35">
        <f t="shared" ref="B73:H73" si="17">SUM(B26:B72)</f>
        <v>76949.67</v>
      </c>
      <c r="C73" s="35">
        <f t="shared" si="17"/>
        <v>298251.6399999999</v>
      </c>
      <c r="D73" s="36">
        <f t="shared" si="17"/>
        <v>167260.08000000002</v>
      </c>
      <c r="E73" s="35">
        <f t="shared" si="17"/>
        <v>542461.39</v>
      </c>
      <c r="F73" s="35">
        <f t="shared" si="17"/>
        <v>363791.66666666663</v>
      </c>
      <c r="G73" s="35">
        <f t="shared" si="17"/>
        <v>542461.39</v>
      </c>
      <c r="H73" s="35">
        <f t="shared" si="17"/>
        <v>363791.66666666663</v>
      </c>
      <c r="I73" s="36">
        <f>SUM(I46:I72)+SUM(I26:I38)</f>
        <v>4365500</v>
      </c>
      <c r="J73" s="37">
        <f t="shared" si="13"/>
        <v>0.12426099874012141</v>
      </c>
    </row>
    <row r="74" spans="1:19" x14ac:dyDescent="0.2">
      <c r="B74" s="14"/>
      <c r="C74" s="14" t="s">
        <v>69</v>
      </c>
      <c r="D74" s="13"/>
      <c r="E74" s="14"/>
      <c r="F74" s="14"/>
      <c r="G74" s="14"/>
      <c r="H74" s="14"/>
      <c r="I74" s="13"/>
    </row>
    <row r="75" spans="1:19" ht="13.5" thickBot="1" x14ac:dyDescent="0.25">
      <c r="A75" s="11" t="s">
        <v>56</v>
      </c>
      <c r="B75" s="38">
        <f t="shared" ref="B75:G75" si="18">B21-B73</f>
        <v>-76949.67</v>
      </c>
      <c r="C75" s="38">
        <f t="shared" si="18"/>
        <v>-103948.71999999991</v>
      </c>
      <c r="D75" s="39">
        <f t="shared" si="18"/>
        <v>-15898</v>
      </c>
      <c r="E75" s="38">
        <f t="shared" si="18"/>
        <v>-196796.39000000007</v>
      </c>
      <c r="F75" s="38">
        <f t="shared" si="18"/>
        <v>0</v>
      </c>
      <c r="G75" s="38">
        <f t="shared" si="18"/>
        <v>-196796.39000000007</v>
      </c>
      <c r="H75" s="10"/>
      <c r="I75" s="12"/>
    </row>
    <row r="76" spans="1:19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9D97-5DE7-4A3A-854C-C5309B91E564}">
  <dimension ref="A1:T76"/>
  <sheetViews>
    <sheetView topLeftCell="A4" workbookViewId="0">
      <selection activeCell="M28" sqref="M28"/>
    </sheetView>
  </sheetViews>
  <sheetFormatPr defaultRowHeight="12.75" x14ac:dyDescent="0.2"/>
  <cols>
    <col min="1" max="1" width="24.140625" style="10" customWidth="1"/>
    <col min="2" max="2" width="9.42578125" bestFit="1" customWidth="1"/>
    <col min="3" max="3" width="9.85546875" bestFit="1" customWidth="1"/>
    <col min="4" max="4" width="11.140625" style="7" customWidth="1"/>
    <col min="5" max="5" width="8.85546875" style="7" bestFit="1" customWidth="1"/>
    <col min="6" max="6" width="10.7109375" bestFit="1" customWidth="1"/>
    <col min="7" max="7" width="10.5703125" customWidth="1"/>
    <col min="8" max="8" width="10.42578125" bestFit="1" customWidth="1"/>
    <col min="9" max="9" width="9.85546875" bestFit="1" customWidth="1"/>
    <col min="10" max="10" width="11.28515625" style="7" bestFit="1" customWidth="1"/>
    <col min="11" max="11" width="8.42578125" customWidth="1"/>
    <col min="12" max="12" width="11.7109375" bestFit="1" customWidth="1"/>
  </cols>
  <sheetData>
    <row r="1" spans="1:11" ht="15.75" x14ac:dyDescent="0.25">
      <c r="D1" s="31" t="s">
        <v>74</v>
      </c>
      <c r="E1" s="31"/>
    </row>
    <row r="3" spans="1:11" ht="15.75" x14ac:dyDescent="0.25">
      <c r="D3" s="31" t="s">
        <v>84</v>
      </c>
      <c r="E3" s="31"/>
    </row>
    <row r="6" spans="1:11" x14ac:dyDescent="0.2">
      <c r="B6" s="1" t="s">
        <v>57</v>
      </c>
      <c r="C6" t="s">
        <v>58</v>
      </c>
      <c r="D6" s="8" t="s">
        <v>59</v>
      </c>
      <c r="E6" s="41" t="s">
        <v>87</v>
      </c>
      <c r="F6" s="1" t="s">
        <v>60</v>
      </c>
      <c r="G6" s="1" t="s">
        <v>61</v>
      </c>
      <c r="H6" s="1" t="s">
        <v>62</v>
      </c>
      <c r="I6" s="1" t="s">
        <v>62</v>
      </c>
      <c r="J6" s="8" t="s">
        <v>63</v>
      </c>
      <c r="K6" s="16">
        <v>8.3299999999999999E-2</v>
      </c>
    </row>
    <row r="7" spans="1:11" x14ac:dyDescent="0.2">
      <c r="B7" s="1"/>
      <c r="D7" s="8"/>
      <c r="E7" s="41" t="s">
        <v>88</v>
      </c>
      <c r="F7" s="1" t="s">
        <v>64</v>
      </c>
      <c r="G7" s="1" t="s">
        <v>65</v>
      </c>
      <c r="H7" s="1" t="s">
        <v>66</v>
      </c>
      <c r="I7" s="1" t="s">
        <v>67</v>
      </c>
      <c r="J7" s="8" t="s">
        <v>67</v>
      </c>
      <c r="K7" s="17" t="s">
        <v>65</v>
      </c>
    </row>
    <row r="8" spans="1:11" x14ac:dyDescent="0.2">
      <c r="A8" s="11" t="s">
        <v>0</v>
      </c>
      <c r="K8" s="17" t="s">
        <v>75</v>
      </c>
    </row>
    <row r="9" spans="1:11" x14ac:dyDescent="0.2">
      <c r="A9" s="11" t="s">
        <v>1</v>
      </c>
      <c r="B9" s="13">
        <v>0</v>
      </c>
      <c r="C9" s="13">
        <v>0</v>
      </c>
      <c r="D9" s="13">
        <v>144201.26999999999</v>
      </c>
      <c r="E9" s="13">
        <v>0</v>
      </c>
      <c r="F9" s="14">
        <f>SUM(B9:E9)</f>
        <v>144201.26999999999</v>
      </c>
      <c r="G9" s="14">
        <f>J9/12</f>
        <v>148333.33333333334</v>
      </c>
      <c r="H9" s="13">
        <f>F9</f>
        <v>144201.26999999999</v>
      </c>
      <c r="I9" s="14">
        <f>G9*1</f>
        <v>148333.33333333334</v>
      </c>
      <c r="J9" s="13">
        <v>1780000</v>
      </c>
      <c r="K9" s="32">
        <f>+H9/J9</f>
        <v>8.1011949438202238E-2</v>
      </c>
    </row>
    <row r="10" spans="1:11" x14ac:dyDescent="0.2">
      <c r="A10" s="11" t="s">
        <v>2</v>
      </c>
      <c r="B10" s="13">
        <v>0</v>
      </c>
      <c r="C10" s="13">
        <v>935.15</v>
      </c>
      <c r="D10" s="13">
        <v>5724.63</v>
      </c>
      <c r="E10" s="13">
        <v>0</v>
      </c>
      <c r="F10" s="14">
        <f t="shared" ref="F10:F20" si="0">SUM(B10:E10)</f>
        <v>6659.78</v>
      </c>
      <c r="G10" s="14">
        <f t="shared" ref="G10:G20" si="1">J10/12</f>
        <v>6083.333333333333</v>
      </c>
      <c r="H10" s="13">
        <f t="shared" ref="H10:H20" si="2">F10</f>
        <v>6659.78</v>
      </c>
      <c r="I10" s="14">
        <f t="shared" ref="I10:I20" si="3">G10*1</f>
        <v>6083.333333333333</v>
      </c>
      <c r="J10" s="13">
        <v>73000</v>
      </c>
      <c r="K10" s="32">
        <f t="shared" ref="K10:K21" si="4">+H10/J10</f>
        <v>9.122986301369862E-2</v>
      </c>
    </row>
    <row r="11" spans="1:11" x14ac:dyDescent="0.2">
      <c r="A11" s="11" t="s">
        <v>71</v>
      </c>
      <c r="B11" s="13">
        <v>0</v>
      </c>
      <c r="C11" s="13">
        <v>0</v>
      </c>
      <c r="D11" s="13">
        <v>0</v>
      </c>
      <c r="E11" s="13">
        <v>0</v>
      </c>
      <c r="F11" s="14">
        <f t="shared" si="0"/>
        <v>0</v>
      </c>
      <c r="G11" s="14">
        <f t="shared" si="1"/>
        <v>1250</v>
      </c>
      <c r="H11" s="13">
        <f t="shared" si="2"/>
        <v>0</v>
      </c>
      <c r="I11" s="14">
        <f t="shared" si="3"/>
        <v>1250</v>
      </c>
      <c r="J11" s="13">
        <v>15000</v>
      </c>
      <c r="K11" s="32">
        <f t="shared" si="4"/>
        <v>0</v>
      </c>
    </row>
    <row r="12" spans="1:11" x14ac:dyDescent="0.2">
      <c r="A12" s="11" t="s">
        <v>3</v>
      </c>
      <c r="B12" s="13">
        <v>0</v>
      </c>
      <c r="C12" s="13">
        <v>0</v>
      </c>
      <c r="D12" s="13">
        <v>1249.54</v>
      </c>
      <c r="E12" s="13">
        <v>0</v>
      </c>
      <c r="F12" s="14">
        <f t="shared" si="0"/>
        <v>1249.54</v>
      </c>
      <c r="G12" s="14">
        <f t="shared" si="1"/>
        <v>3333.3333333333335</v>
      </c>
      <c r="H12" s="13">
        <f t="shared" si="2"/>
        <v>1249.54</v>
      </c>
      <c r="I12" s="14">
        <f t="shared" si="3"/>
        <v>3333.3333333333335</v>
      </c>
      <c r="J12" s="13">
        <v>40000</v>
      </c>
      <c r="K12" s="32">
        <f t="shared" si="4"/>
        <v>3.1238499999999999E-2</v>
      </c>
    </row>
    <row r="13" spans="1:11" x14ac:dyDescent="0.2">
      <c r="A13" s="11" t="s">
        <v>4</v>
      </c>
      <c r="B13" s="13">
        <v>0</v>
      </c>
      <c r="C13" s="13">
        <v>0</v>
      </c>
      <c r="D13" s="13">
        <v>186.64</v>
      </c>
      <c r="E13" s="13">
        <v>0</v>
      </c>
      <c r="F13" s="14">
        <f t="shared" si="0"/>
        <v>186.64</v>
      </c>
      <c r="G13" s="14">
        <f t="shared" si="1"/>
        <v>8333.3333333333339</v>
      </c>
      <c r="H13" s="13">
        <f t="shared" si="2"/>
        <v>186.64</v>
      </c>
      <c r="I13" s="14">
        <f t="shared" si="3"/>
        <v>8333.3333333333339</v>
      </c>
      <c r="J13" s="13">
        <v>100000</v>
      </c>
      <c r="K13" s="32">
        <f t="shared" si="4"/>
        <v>1.8663999999999998E-3</v>
      </c>
    </row>
    <row r="14" spans="1:11" x14ac:dyDescent="0.2">
      <c r="A14" s="11" t="s">
        <v>5</v>
      </c>
      <c r="B14" s="13">
        <v>0</v>
      </c>
      <c r="C14" s="13">
        <v>109906.42</v>
      </c>
      <c r="D14" s="13">
        <v>0</v>
      </c>
      <c r="E14" s="13">
        <v>0</v>
      </c>
      <c r="F14" s="14">
        <f t="shared" si="0"/>
        <v>109906.42</v>
      </c>
      <c r="G14" s="14">
        <f t="shared" si="1"/>
        <v>121666.66666666667</v>
      </c>
      <c r="H14" s="13">
        <f t="shared" si="2"/>
        <v>109906.42</v>
      </c>
      <c r="I14" s="14">
        <f t="shared" si="3"/>
        <v>121666.66666666667</v>
      </c>
      <c r="J14" s="13">
        <v>1460000</v>
      </c>
      <c r="K14" s="32">
        <f t="shared" si="4"/>
        <v>7.52783698630137E-2</v>
      </c>
    </row>
    <row r="15" spans="1:11" x14ac:dyDescent="0.2">
      <c r="A15" s="11" t="s">
        <v>6</v>
      </c>
      <c r="B15" s="13">
        <v>0</v>
      </c>
      <c r="C15" s="13">
        <v>436.98</v>
      </c>
      <c r="D15" s="13">
        <v>0</v>
      </c>
      <c r="E15" s="13">
        <v>0</v>
      </c>
      <c r="F15" s="14">
        <f t="shared" si="0"/>
        <v>436.98</v>
      </c>
      <c r="G15" s="14">
        <f t="shared" si="1"/>
        <v>916.66666666666663</v>
      </c>
      <c r="H15" s="13">
        <f t="shared" si="2"/>
        <v>436.98</v>
      </c>
      <c r="I15" s="14">
        <f t="shared" si="3"/>
        <v>916.66666666666663</v>
      </c>
      <c r="J15" s="13">
        <v>11000</v>
      </c>
      <c r="K15" s="32">
        <f t="shared" si="4"/>
        <v>3.972545454545455E-2</v>
      </c>
    </row>
    <row r="16" spans="1:11" x14ac:dyDescent="0.2">
      <c r="A16" s="11" t="s">
        <v>7</v>
      </c>
      <c r="B16" s="13">
        <v>0</v>
      </c>
      <c r="C16" s="13">
        <v>0</v>
      </c>
      <c r="D16" s="13">
        <v>0</v>
      </c>
      <c r="E16" s="13">
        <v>19418.169999999998</v>
      </c>
      <c r="F16" s="14">
        <f t="shared" si="0"/>
        <v>19418.169999999998</v>
      </c>
      <c r="G16" s="14">
        <f t="shared" si="1"/>
        <v>15833.333333333334</v>
      </c>
      <c r="H16" s="13">
        <f t="shared" si="2"/>
        <v>19418.169999999998</v>
      </c>
      <c r="I16" s="14">
        <f t="shared" si="3"/>
        <v>15833.333333333334</v>
      </c>
      <c r="J16" s="13">
        <v>190000</v>
      </c>
      <c r="K16" s="32">
        <f t="shared" si="4"/>
        <v>0.1022008947368421</v>
      </c>
    </row>
    <row r="17" spans="1:12" x14ac:dyDescent="0.2">
      <c r="A17" s="11" t="s">
        <v>8</v>
      </c>
      <c r="B17" s="13">
        <v>0</v>
      </c>
      <c r="C17" s="13">
        <v>225</v>
      </c>
      <c r="D17" s="13">
        <v>0</v>
      </c>
      <c r="E17" s="13">
        <v>0</v>
      </c>
      <c r="F17" s="14">
        <f t="shared" si="0"/>
        <v>225</v>
      </c>
      <c r="G17" s="14">
        <f t="shared" si="1"/>
        <v>625</v>
      </c>
      <c r="H17" s="13">
        <f t="shared" si="2"/>
        <v>225</v>
      </c>
      <c r="I17" s="14">
        <f t="shared" si="3"/>
        <v>625</v>
      </c>
      <c r="J17" s="13">
        <v>7500</v>
      </c>
      <c r="K17" s="32">
        <f t="shared" si="4"/>
        <v>0.03</v>
      </c>
    </row>
    <row r="18" spans="1:12" x14ac:dyDescent="0.2">
      <c r="A18" s="11" t="s">
        <v>9</v>
      </c>
      <c r="B18" s="13">
        <v>0</v>
      </c>
      <c r="C18" s="13">
        <v>1798.98</v>
      </c>
      <c r="D18" s="13">
        <v>0</v>
      </c>
      <c r="E18" s="13">
        <v>0</v>
      </c>
      <c r="F18" s="14">
        <f t="shared" si="0"/>
        <v>1798.98</v>
      </c>
      <c r="G18" s="14">
        <f t="shared" si="1"/>
        <v>4166.666666666667</v>
      </c>
      <c r="H18" s="13">
        <f t="shared" si="2"/>
        <v>1798.98</v>
      </c>
      <c r="I18" s="14">
        <f t="shared" si="3"/>
        <v>4166.666666666667</v>
      </c>
      <c r="J18" s="13">
        <v>50000</v>
      </c>
      <c r="K18" s="32">
        <f t="shared" si="4"/>
        <v>3.59796E-2</v>
      </c>
    </row>
    <row r="19" spans="1:12" x14ac:dyDescent="0.2">
      <c r="A19" s="11" t="s">
        <v>10</v>
      </c>
      <c r="B19" s="13">
        <v>0</v>
      </c>
      <c r="C19" s="13">
        <v>53784.23</v>
      </c>
      <c r="D19" s="13">
        <v>0</v>
      </c>
      <c r="E19" s="13">
        <v>0</v>
      </c>
      <c r="F19" s="14">
        <f t="shared" si="0"/>
        <v>53784.23</v>
      </c>
      <c r="G19" s="14">
        <f t="shared" si="1"/>
        <v>48666.666666666664</v>
      </c>
      <c r="H19" s="13">
        <f t="shared" si="2"/>
        <v>53784.23</v>
      </c>
      <c r="I19" s="14">
        <f t="shared" si="3"/>
        <v>48666.666666666664</v>
      </c>
      <c r="J19" s="13">
        <v>584000</v>
      </c>
      <c r="K19" s="32">
        <f t="shared" si="4"/>
        <v>9.2096284246575344E-2</v>
      </c>
    </row>
    <row r="20" spans="1:12" x14ac:dyDescent="0.2">
      <c r="A20" s="11" t="s">
        <v>11</v>
      </c>
      <c r="B20" s="13">
        <v>0</v>
      </c>
      <c r="C20" s="13">
        <v>0</v>
      </c>
      <c r="D20" s="13">
        <v>0</v>
      </c>
      <c r="E20" s="13">
        <v>7797.99</v>
      </c>
      <c r="F20" s="14">
        <f t="shared" si="0"/>
        <v>7797.99</v>
      </c>
      <c r="G20" s="14">
        <f t="shared" si="1"/>
        <v>4583.333333333333</v>
      </c>
      <c r="H20" s="13">
        <f t="shared" si="2"/>
        <v>7797.99</v>
      </c>
      <c r="I20" s="14">
        <f t="shared" si="3"/>
        <v>4583.333333333333</v>
      </c>
      <c r="J20" s="13">
        <v>55000</v>
      </c>
      <c r="K20" s="33">
        <f t="shared" si="4"/>
        <v>0.14178163636363636</v>
      </c>
    </row>
    <row r="21" spans="1:12" x14ac:dyDescent="0.2">
      <c r="A21" s="11" t="s">
        <v>12</v>
      </c>
      <c r="B21" s="35">
        <f t="shared" ref="B21:J21" si="5">SUM(B9:B20)</f>
        <v>0</v>
      </c>
      <c r="C21" s="35">
        <f t="shared" si="5"/>
        <v>167086.75999999998</v>
      </c>
      <c r="D21" s="36">
        <f t="shared" si="5"/>
        <v>151362.08000000002</v>
      </c>
      <c r="E21" s="36">
        <f t="shared" si="5"/>
        <v>27216.159999999996</v>
      </c>
      <c r="F21" s="35">
        <f t="shared" si="5"/>
        <v>345664.99999999994</v>
      </c>
      <c r="G21" s="35">
        <f t="shared" si="5"/>
        <v>363791.66666666674</v>
      </c>
      <c r="H21" s="35">
        <f t="shared" si="5"/>
        <v>345664.99999999994</v>
      </c>
      <c r="I21" s="35">
        <f>SUM(I9:I20)</f>
        <v>363791.66666666674</v>
      </c>
      <c r="J21" s="36">
        <f t="shared" si="5"/>
        <v>4365500</v>
      </c>
      <c r="K21" s="40">
        <f t="shared" si="4"/>
        <v>7.9181078914213707E-2</v>
      </c>
      <c r="L21" s="2"/>
    </row>
    <row r="22" spans="1:12" x14ac:dyDescent="0.2">
      <c r="A22" s="11"/>
    </row>
    <row r="23" spans="1:12" x14ac:dyDescent="0.2">
      <c r="A23" s="11" t="s">
        <v>13</v>
      </c>
      <c r="B23" s="1" t="s">
        <v>57</v>
      </c>
      <c r="C23" t="s">
        <v>58</v>
      </c>
      <c r="D23" s="8" t="s">
        <v>59</v>
      </c>
      <c r="E23" s="41" t="s">
        <v>87</v>
      </c>
      <c r="F23" s="1" t="s">
        <v>60</v>
      </c>
      <c r="G23" s="1" t="s">
        <v>61</v>
      </c>
      <c r="H23" s="1" t="s">
        <v>62</v>
      </c>
      <c r="I23" s="1" t="s">
        <v>62</v>
      </c>
      <c r="J23" s="8" t="s">
        <v>63</v>
      </c>
      <c r="K23" s="16">
        <f>+K6</f>
        <v>8.3299999999999999E-2</v>
      </c>
    </row>
    <row r="24" spans="1:12" x14ac:dyDescent="0.2">
      <c r="A24" s="11"/>
      <c r="B24" s="1"/>
      <c r="D24" s="8"/>
      <c r="E24" s="41" t="s">
        <v>88</v>
      </c>
      <c r="F24" s="1" t="s">
        <v>68</v>
      </c>
      <c r="G24" s="1" t="s">
        <v>65</v>
      </c>
      <c r="H24" s="1" t="s">
        <v>68</v>
      </c>
      <c r="I24" s="1" t="s">
        <v>67</v>
      </c>
      <c r="J24" s="8" t="s">
        <v>67</v>
      </c>
      <c r="K24" s="17" t="s">
        <v>65</v>
      </c>
    </row>
    <row r="25" spans="1:12" x14ac:dyDescent="0.2">
      <c r="A25" s="11"/>
      <c r="B25" s="1"/>
      <c r="D25" s="8"/>
      <c r="E25" s="8"/>
      <c r="F25" s="1"/>
      <c r="G25" s="1"/>
      <c r="H25" s="1"/>
      <c r="I25" s="1"/>
      <c r="J25" s="8"/>
      <c r="K25" s="17" t="s">
        <v>75</v>
      </c>
    </row>
    <row r="26" spans="1:12" x14ac:dyDescent="0.2">
      <c r="A26" s="11" t="s">
        <v>14</v>
      </c>
      <c r="B26" s="13">
        <v>23956.62</v>
      </c>
      <c r="C26" s="13">
        <f>30357-E26</f>
        <v>28997.16</v>
      </c>
      <c r="D26" s="13">
        <v>15005.6</v>
      </c>
      <c r="E26" s="13">
        <v>1359.84</v>
      </c>
      <c r="F26" s="14">
        <f t="shared" ref="F26:F38" si="6">SUM(B26:E26)</f>
        <v>69319.22</v>
      </c>
      <c r="G26" s="14">
        <f t="shared" ref="G26:G38" si="7">J26/12</f>
        <v>84166.666666666672</v>
      </c>
      <c r="H26" s="13">
        <f>F26</f>
        <v>69319.22</v>
      </c>
      <c r="I26" s="14">
        <f>G26*1</f>
        <v>84166.666666666672</v>
      </c>
      <c r="J26" s="13">
        <v>1010000</v>
      </c>
      <c r="K26" s="34">
        <f t="shared" ref="K26:K38" si="8">+H26/J26</f>
        <v>6.8632891089108916E-2</v>
      </c>
    </row>
    <row r="27" spans="1:12" x14ac:dyDescent="0.2">
      <c r="A27" s="11" t="s">
        <v>15</v>
      </c>
      <c r="B27" s="13">
        <v>1967.64</v>
      </c>
      <c r="C27" s="13">
        <f>2718.88-E27</f>
        <v>2379</v>
      </c>
      <c r="D27" s="13">
        <v>1225.0999999999999</v>
      </c>
      <c r="E27" s="13">
        <v>339.88</v>
      </c>
      <c r="F27" s="14">
        <f t="shared" si="6"/>
        <v>5911.62</v>
      </c>
      <c r="G27" s="14">
        <f t="shared" si="7"/>
        <v>6666.666666666667</v>
      </c>
      <c r="H27" s="13">
        <f t="shared" ref="H27:H38" si="9">F27</f>
        <v>5911.62</v>
      </c>
      <c r="I27" s="14">
        <f t="shared" ref="I27:I38" si="10">G27*1</f>
        <v>6666.666666666667</v>
      </c>
      <c r="J27" s="13">
        <v>80000</v>
      </c>
      <c r="K27" s="34">
        <f t="shared" si="8"/>
        <v>7.3895249999999996E-2</v>
      </c>
    </row>
    <row r="28" spans="1:12" x14ac:dyDescent="0.2">
      <c r="A28" s="11" t="s">
        <v>16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625</v>
      </c>
      <c r="H28" s="13">
        <f t="shared" si="9"/>
        <v>0</v>
      </c>
      <c r="I28" s="14">
        <f t="shared" si="10"/>
        <v>625</v>
      </c>
      <c r="J28" s="13">
        <v>7500</v>
      </c>
      <c r="K28" s="34">
        <f t="shared" si="8"/>
        <v>0</v>
      </c>
    </row>
    <row r="29" spans="1:12" x14ac:dyDescent="0.2">
      <c r="A29" s="11" t="s">
        <v>17</v>
      </c>
      <c r="B29" s="13">
        <v>2031.36</v>
      </c>
      <c r="C29" s="13">
        <f>751.96-E29</f>
        <v>679.25</v>
      </c>
      <c r="D29" s="13">
        <v>1094.8</v>
      </c>
      <c r="E29" s="13">
        <v>72.709999999999994</v>
      </c>
      <c r="F29" s="14">
        <f t="shared" si="6"/>
        <v>3878.12</v>
      </c>
      <c r="G29" s="14">
        <f t="shared" si="7"/>
        <v>3600</v>
      </c>
      <c r="H29" s="13">
        <f t="shared" si="9"/>
        <v>3878.12</v>
      </c>
      <c r="I29" s="14">
        <f t="shared" si="10"/>
        <v>3600</v>
      </c>
      <c r="J29" s="13">
        <v>43200</v>
      </c>
      <c r="K29" s="34">
        <f t="shared" si="8"/>
        <v>8.9771296296296293E-2</v>
      </c>
    </row>
    <row r="30" spans="1:12" x14ac:dyDescent="0.2">
      <c r="A30" s="11" t="s">
        <v>18</v>
      </c>
      <c r="B30" s="13">
        <v>0</v>
      </c>
      <c r="C30" s="13">
        <v>0</v>
      </c>
      <c r="D30" s="13">
        <v>0</v>
      </c>
      <c r="E30" s="13">
        <v>0</v>
      </c>
      <c r="F30" s="14">
        <f t="shared" si="6"/>
        <v>0</v>
      </c>
      <c r="G30" s="14">
        <f t="shared" si="7"/>
        <v>8750</v>
      </c>
      <c r="H30" s="13">
        <f t="shared" si="9"/>
        <v>0</v>
      </c>
      <c r="I30" s="14">
        <f t="shared" si="10"/>
        <v>8750</v>
      </c>
      <c r="J30" s="13">
        <v>105000</v>
      </c>
      <c r="K30" s="34">
        <f t="shared" si="8"/>
        <v>0</v>
      </c>
    </row>
    <row r="31" spans="1:12" x14ac:dyDescent="0.2">
      <c r="A31" s="11" t="s">
        <v>19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833.33333333333337</v>
      </c>
      <c r="H31" s="13">
        <f t="shared" si="9"/>
        <v>0</v>
      </c>
      <c r="I31" s="14">
        <f t="shared" si="10"/>
        <v>833.33333333333337</v>
      </c>
      <c r="J31" s="13">
        <f>10000</f>
        <v>10000</v>
      </c>
      <c r="K31" s="34">
        <f t="shared" si="8"/>
        <v>0</v>
      </c>
    </row>
    <row r="32" spans="1:12" x14ac:dyDescent="0.2">
      <c r="A32" s="11" t="s">
        <v>20</v>
      </c>
      <c r="B32" s="13">
        <v>0</v>
      </c>
      <c r="C32" s="13">
        <v>0</v>
      </c>
      <c r="D32" s="13">
        <v>0</v>
      </c>
      <c r="E32" s="13">
        <v>0</v>
      </c>
      <c r="F32" s="14">
        <f t="shared" si="6"/>
        <v>0</v>
      </c>
      <c r="G32" s="14">
        <f t="shared" si="7"/>
        <v>2083.3333333333335</v>
      </c>
      <c r="H32" s="13">
        <f t="shared" si="9"/>
        <v>0</v>
      </c>
      <c r="I32" s="14">
        <f t="shared" si="10"/>
        <v>2083.3333333333335</v>
      </c>
      <c r="J32" s="13">
        <v>25000</v>
      </c>
      <c r="K32" s="34">
        <f t="shared" si="8"/>
        <v>0</v>
      </c>
    </row>
    <row r="33" spans="1:20" x14ac:dyDescent="0.2">
      <c r="A33" s="11" t="s">
        <v>21</v>
      </c>
      <c r="B33" s="13">
        <v>0</v>
      </c>
      <c r="C33" s="13">
        <v>0</v>
      </c>
      <c r="D33" s="13">
        <v>0</v>
      </c>
      <c r="E33" s="13">
        <v>0</v>
      </c>
      <c r="F33" s="14">
        <f t="shared" si="6"/>
        <v>0</v>
      </c>
      <c r="G33" s="14">
        <f t="shared" si="7"/>
        <v>1750</v>
      </c>
      <c r="H33" s="13">
        <f t="shared" si="9"/>
        <v>0</v>
      </c>
      <c r="I33" s="14">
        <f t="shared" si="10"/>
        <v>1750</v>
      </c>
      <c r="J33" s="13">
        <v>21000</v>
      </c>
      <c r="K33" s="34">
        <f t="shared" si="8"/>
        <v>0</v>
      </c>
    </row>
    <row r="34" spans="1:20" x14ac:dyDescent="0.2">
      <c r="A34" s="11" t="s">
        <v>22</v>
      </c>
      <c r="B34" s="13">
        <v>0</v>
      </c>
      <c r="C34" s="13">
        <v>412.88</v>
      </c>
      <c r="D34" s="13">
        <v>371.93</v>
      </c>
      <c r="E34" s="13">
        <v>0</v>
      </c>
      <c r="F34" s="14">
        <f t="shared" si="6"/>
        <v>784.81</v>
      </c>
      <c r="G34" s="14">
        <f t="shared" si="7"/>
        <v>2666.6666666666665</v>
      </c>
      <c r="H34" s="13">
        <f t="shared" si="9"/>
        <v>784.81</v>
      </c>
      <c r="I34" s="14">
        <f t="shared" si="10"/>
        <v>2666.6666666666665</v>
      </c>
      <c r="J34" s="13">
        <v>32000</v>
      </c>
      <c r="K34" s="34">
        <f t="shared" si="8"/>
        <v>2.4525312499999997E-2</v>
      </c>
    </row>
    <row r="35" spans="1:20" x14ac:dyDescent="0.2">
      <c r="A35" s="11" t="s">
        <v>23</v>
      </c>
      <c r="B35" s="13">
        <v>15.42</v>
      </c>
      <c r="C35" s="13">
        <v>4926.2299999999996</v>
      </c>
      <c r="D35" s="13">
        <v>4926.22</v>
      </c>
      <c r="E35" s="13">
        <v>0</v>
      </c>
      <c r="F35" s="14">
        <f t="shared" si="6"/>
        <v>9867.869999999999</v>
      </c>
      <c r="G35" s="14">
        <f t="shared" si="7"/>
        <v>10833.333333333334</v>
      </c>
      <c r="H35" s="13">
        <f t="shared" si="9"/>
        <v>9867.869999999999</v>
      </c>
      <c r="I35" s="14">
        <f t="shared" si="10"/>
        <v>10833.333333333334</v>
      </c>
      <c r="J35" s="13">
        <v>130000</v>
      </c>
      <c r="K35" s="34">
        <f t="shared" si="8"/>
        <v>7.59066923076923E-2</v>
      </c>
    </row>
    <row r="36" spans="1:20" x14ac:dyDescent="0.2">
      <c r="A36" s="11" t="s">
        <v>24</v>
      </c>
      <c r="B36" s="13">
        <v>0</v>
      </c>
      <c r="C36" s="13">
        <v>0</v>
      </c>
      <c r="D36" s="13">
        <v>0</v>
      </c>
      <c r="E36" s="13">
        <v>0</v>
      </c>
      <c r="F36" s="14">
        <f t="shared" si="6"/>
        <v>0</v>
      </c>
      <c r="G36" s="14">
        <f t="shared" si="7"/>
        <v>1666.6666666666667</v>
      </c>
      <c r="H36" s="13">
        <f t="shared" si="9"/>
        <v>0</v>
      </c>
      <c r="I36" s="14">
        <f t="shared" si="10"/>
        <v>1666.6666666666667</v>
      </c>
      <c r="J36" s="13">
        <v>20000</v>
      </c>
      <c r="K36" s="34">
        <f t="shared" si="8"/>
        <v>0</v>
      </c>
    </row>
    <row r="37" spans="1:20" x14ac:dyDescent="0.2">
      <c r="A37" s="11" t="s">
        <v>25</v>
      </c>
      <c r="B37" s="13">
        <v>0</v>
      </c>
      <c r="C37" s="13">
        <v>0</v>
      </c>
      <c r="D37" s="13">
        <v>0</v>
      </c>
      <c r="E37" s="13">
        <v>0</v>
      </c>
      <c r="F37" s="14">
        <f t="shared" si="6"/>
        <v>0</v>
      </c>
      <c r="G37" s="14">
        <f t="shared" si="7"/>
        <v>250</v>
      </c>
      <c r="H37" s="13">
        <f t="shared" si="9"/>
        <v>0</v>
      </c>
      <c r="I37" s="14">
        <f t="shared" si="10"/>
        <v>250</v>
      </c>
      <c r="J37" s="13">
        <f>1500+1500</f>
        <v>3000</v>
      </c>
      <c r="K37" s="34">
        <f t="shared" si="8"/>
        <v>0</v>
      </c>
    </row>
    <row r="38" spans="1:20" x14ac:dyDescent="0.2">
      <c r="A38" s="11" t="s">
        <v>26</v>
      </c>
      <c r="B38" s="13">
        <v>0</v>
      </c>
      <c r="C38" s="13">
        <v>0</v>
      </c>
      <c r="D38" s="13">
        <v>8425</v>
      </c>
      <c r="E38" s="13">
        <v>0</v>
      </c>
      <c r="F38" s="14">
        <f t="shared" si="6"/>
        <v>8425</v>
      </c>
      <c r="G38" s="14">
        <f t="shared" si="7"/>
        <v>30833.333333333332</v>
      </c>
      <c r="H38" s="13">
        <f t="shared" si="9"/>
        <v>8425</v>
      </c>
      <c r="I38" s="14">
        <f t="shared" si="10"/>
        <v>30833.333333333332</v>
      </c>
      <c r="J38" s="13">
        <v>370000</v>
      </c>
      <c r="K38" s="34">
        <f t="shared" si="8"/>
        <v>2.277027027027027E-2</v>
      </c>
    </row>
    <row r="39" spans="1:20" x14ac:dyDescent="0.2">
      <c r="A39" s="11"/>
      <c r="B39" s="14"/>
      <c r="C39" s="13"/>
      <c r="D39" s="13"/>
      <c r="E39" s="13"/>
      <c r="F39" s="14"/>
      <c r="G39" s="14"/>
      <c r="H39" s="14"/>
      <c r="I39" s="14"/>
      <c r="J39" s="13"/>
    </row>
    <row r="40" spans="1:20" x14ac:dyDescent="0.2">
      <c r="A40" s="11"/>
      <c r="B40" s="2"/>
      <c r="C40" s="6"/>
      <c r="D40" s="6"/>
      <c r="E40" s="6"/>
      <c r="F40" s="2"/>
      <c r="G40" s="2"/>
      <c r="H40" s="2"/>
      <c r="I40" s="2"/>
      <c r="J40" s="6"/>
    </row>
    <row r="41" spans="1:20" x14ac:dyDescent="0.2">
      <c r="A41" s="11"/>
      <c r="B41" s="1"/>
      <c r="C41" s="7"/>
      <c r="D41" s="8"/>
      <c r="E41" s="8"/>
      <c r="F41" s="1"/>
      <c r="G41" s="1"/>
      <c r="H41" s="1"/>
      <c r="I41" s="1"/>
      <c r="J41" s="8"/>
      <c r="L41" s="1"/>
      <c r="M41" s="1"/>
      <c r="O41" s="1"/>
      <c r="P41" s="1"/>
      <c r="Q41" s="1"/>
      <c r="R41" s="1"/>
      <c r="S41" s="1"/>
      <c r="T41" s="1"/>
    </row>
    <row r="42" spans="1:20" x14ac:dyDescent="0.2">
      <c r="A42" s="11"/>
      <c r="B42" s="2"/>
      <c r="C42" s="6"/>
      <c r="D42" s="6"/>
      <c r="E42" s="6"/>
      <c r="F42" s="2"/>
      <c r="G42" s="2"/>
      <c r="H42" s="2"/>
      <c r="I42" s="2"/>
      <c r="J42" s="6"/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41" t="s">
        <v>87</v>
      </c>
      <c r="F43" s="1" t="s">
        <v>60</v>
      </c>
      <c r="G43" s="1" t="s">
        <v>61</v>
      </c>
      <c r="H43" s="1" t="s">
        <v>62</v>
      </c>
      <c r="I43" s="1" t="s">
        <v>62</v>
      </c>
      <c r="J43" s="8" t="s">
        <v>63</v>
      </c>
      <c r="K43" s="16">
        <f>+K6</f>
        <v>8.3299999999999999E-2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/>
      <c r="B44" s="1"/>
      <c r="C44" s="7"/>
      <c r="D44" s="8"/>
      <c r="E44" s="41" t="s">
        <v>88</v>
      </c>
      <c r="F44" s="1" t="s">
        <v>68</v>
      </c>
      <c r="G44" s="1" t="s">
        <v>65</v>
      </c>
      <c r="H44" s="1" t="s">
        <v>68</v>
      </c>
      <c r="I44" s="1" t="s">
        <v>67</v>
      </c>
      <c r="J44" s="8" t="s">
        <v>67</v>
      </c>
      <c r="K44" s="17" t="s">
        <v>65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/>
      <c r="B45" s="1"/>
      <c r="C45" s="7"/>
      <c r="D45" s="8"/>
      <c r="E45" s="8"/>
      <c r="F45" s="1"/>
      <c r="G45" s="1"/>
      <c r="H45" s="1"/>
      <c r="I45" s="1"/>
      <c r="J45" s="8"/>
      <c r="K45" s="17" t="s">
        <v>75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27</v>
      </c>
      <c r="B46" s="6">
        <v>4813.6400000000003</v>
      </c>
      <c r="C46" s="6">
        <v>7921.7</v>
      </c>
      <c r="D46" s="6">
        <v>4376.5600000000004</v>
      </c>
      <c r="E46" s="6">
        <v>263.39999999999998</v>
      </c>
      <c r="F46" s="14">
        <f t="shared" ref="F46:F72" si="11">SUM(B46:E46)</f>
        <v>17375.300000000003</v>
      </c>
      <c r="G46" s="2">
        <f t="shared" ref="G46:G48" si="12">J46/12</f>
        <v>16500</v>
      </c>
      <c r="H46" s="6">
        <f>F46</f>
        <v>17375.300000000003</v>
      </c>
      <c r="I46" s="2">
        <f>G46*1</f>
        <v>16500</v>
      </c>
      <c r="J46" s="6">
        <v>198000</v>
      </c>
      <c r="K46" s="34">
        <f t="shared" ref="K46:K73" si="13">+H46/J46</f>
        <v>8.7754040404040418E-2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28</v>
      </c>
      <c r="B47" s="13">
        <v>29284.33</v>
      </c>
      <c r="C47" s="13">
        <v>130473.34</v>
      </c>
      <c r="D47" s="13">
        <v>130473.33</v>
      </c>
      <c r="E47" s="13">
        <v>0</v>
      </c>
      <c r="F47" s="14">
        <f t="shared" si="11"/>
        <v>290231</v>
      </c>
      <c r="G47" s="14">
        <f t="shared" si="12"/>
        <v>25520.833333333332</v>
      </c>
      <c r="H47" s="13">
        <f t="shared" ref="H47:H72" si="14">F47</f>
        <v>290231</v>
      </c>
      <c r="I47" s="14">
        <f t="shared" ref="I47:I72" si="15">G47*1</f>
        <v>25520.833333333332</v>
      </c>
      <c r="J47" s="13">
        <v>306250</v>
      </c>
      <c r="K47" s="34">
        <f t="shared" si="13"/>
        <v>0.94769306122448982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29</v>
      </c>
      <c r="B48" s="13">
        <v>0</v>
      </c>
      <c r="C48" s="13">
        <v>248</v>
      </c>
      <c r="D48" s="13">
        <v>0</v>
      </c>
      <c r="E48" s="13">
        <v>0</v>
      </c>
      <c r="F48" s="14">
        <f t="shared" si="11"/>
        <v>248</v>
      </c>
      <c r="G48" s="14">
        <f t="shared" si="12"/>
        <v>416.66666666666669</v>
      </c>
      <c r="H48" s="13">
        <f t="shared" si="14"/>
        <v>248</v>
      </c>
      <c r="I48" s="14">
        <f t="shared" si="15"/>
        <v>416.66666666666669</v>
      </c>
      <c r="J48" s="13">
        <f>2500+2500</f>
        <v>5000</v>
      </c>
      <c r="K48" s="34">
        <f t="shared" si="13"/>
        <v>4.9599999999999998E-2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30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>J49/12</f>
        <v>1333.3333333333333</v>
      </c>
      <c r="H49" s="13">
        <f t="shared" si="14"/>
        <v>0</v>
      </c>
      <c r="I49" s="14">
        <f t="shared" si="15"/>
        <v>1333.3333333333333</v>
      </c>
      <c r="J49" s="13">
        <f>8000+8000</f>
        <v>16000</v>
      </c>
      <c r="K49" s="34">
        <f t="shared" si="13"/>
        <v>0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32</v>
      </c>
      <c r="B50" s="13">
        <v>0</v>
      </c>
      <c r="C50" s="13">
        <v>0</v>
      </c>
      <c r="D50" s="13">
        <v>0</v>
      </c>
      <c r="E50" s="13">
        <v>0</v>
      </c>
      <c r="F50" s="14">
        <f t="shared" si="11"/>
        <v>0</v>
      </c>
      <c r="G50" s="14">
        <f t="shared" ref="G50:G72" si="16">J50/12</f>
        <v>6500</v>
      </c>
      <c r="H50" s="13">
        <f t="shared" si="14"/>
        <v>0</v>
      </c>
      <c r="I50" s="14">
        <f t="shared" si="15"/>
        <v>6500</v>
      </c>
      <c r="J50" s="13">
        <v>78000</v>
      </c>
      <c r="K50" s="34">
        <f t="shared" si="13"/>
        <v>0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33</v>
      </c>
      <c r="B51" s="13">
        <v>0</v>
      </c>
      <c r="C51" s="13">
        <v>0</v>
      </c>
      <c r="D51" s="13">
        <v>0</v>
      </c>
      <c r="E51" s="13">
        <v>0</v>
      </c>
      <c r="F51" s="14">
        <f t="shared" si="11"/>
        <v>0</v>
      </c>
      <c r="G51" s="14">
        <f t="shared" si="16"/>
        <v>750</v>
      </c>
      <c r="H51" s="13">
        <f t="shared" si="14"/>
        <v>0</v>
      </c>
      <c r="I51" s="14">
        <f t="shared" si="15"/>
        <v>750</v>
      </c>
      <c r="J51" s="13">
        <v>9000</v>
      </c>
      <c r="K51" s="34">
        <f t="shared" si="13"/>
        <v>0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34</v>
      </c>
      <c r="B52" s="13">
        <v>0</v>
      </c>
      <c r="C52" s="13">
        <v>521.4</v>
      </c>
      <c r="D52" s="13">
        <v>376.6</v>
      </c>
      <c r="E52" s="13">
        <v>0</v>
      </c>
      <c r="F52" s="14">
        <f t="shared" si="11"/>
        <v>898</v>
      </c>
      <c r="G52" s="14">
        <f t="shared" si="16"/>
        <v>1250</v>
      </c>
      <c r="H52" s="13">
        <f t="shared" si="14"/>
        <v>898</v>
      </c>
      <c r="I52" s="14">
        <f t="shared" si="15"/>
        <v>1250</v>
      </c>
      <c r="J52" s="13">
        <v>15000</v>
      </c>
      <c r="K52" s="34">
        <f t="shared" si="13"/>
        <v>5.9866666666666665E-2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35</v>
      </c>
      <c r="B53" s="13">
        <v>0</v>
      </c>
      <c r="C53" s="13">
        <v>2869.15</v>
      </c>
      <c r="D53" s="13">
        <v>984.94</v>
      </c>
      <c r="E53" s="13">
        <v>0</v>
      </c>
      <c r="F53" s="14">
        <f t="shared" si="11"/>
        <v>3854.09</v>
      </c>
      <c r="G53" s="14">
        <f t="shared" si="16"/>
        <v>13750</v>
      </c>
      <c r="H53" s="13">
        <f t="shared" si="14"/>
        <v>3854.09</v>
      </c>
      <c r="I53" s="14">
        <f t="shared" si="15"/>
        <v>13750</v>
      </c>
      <c r="J53" s="13">
        <v>165000</v>
      </c>
      <c r="K53" s="34">
        <f t="shared" si="13"/>
        <v>2.3358121212121212E-2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36</v>
      </c>
      <c r="B54" s="13">
        <v>0</v>
      </c>
      <c r="C54" s="13">
        <v>79793.679999999993</v>
      </c>
      <c r="D54" s="13">
        <v>0</v>
      </c>
      <c r="E54" s="13">
        <v>0</v>
      </c>
      <c r="F54" s="14">
        <f t="shared" si="11"/>
        <v>79793.679999999993</v>
      </c>
      <c r="G54" s="14">
        <f t="shared" si="16"/>
        <v>91666.666666666672</v>
      </c>
      <c r="H54" s="13">
        <f t="shared" si="14"/>
        <v>79793.679999999993</v>
      </c>
      <c r="I54" s="14">
        <f t="shared" si="15"/>
        <v>91666.666666666672</v>
      </c>
      <c r="J54" s="13">
        <v>1100000</v>
      </c>
      <c r="K54" s="34">
        <f t="shared" si="13"/>
        <v>7.253970909090908E-2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37</v>
      </c>
      <c r="B55" s="13">
        <v>0</v>
      </c>
      <c r="C55" s="13">
        <v>0</v>
      </c>
      <c r="D55" s="13">
        <v>0</v>
      </c>
      <c r="E55" s="13">
        <v>0</v>
      </c>
      <c r="F55" s="14">
        <f t="shared" si="11"/>
        <v>0</v>
      </c>
      <c r="G55" s="14">
        <f t="shared" si="16"/>
        <v>875</v>
      </c>
      <c r="H55" s="13">
        <f t="shared" si="14"/>
        <v>0</v>
      </c>
      <c r="I55" s="14">
        <f t="shared" si="15"/>
        <v>875</v>
      </c>
      <c r="J55" s="13">
        <v>10500</v>
      </c>
      <c r="K55" s="34">
        <f t="shared" si="13"/>
        <v>0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38</v>
      </c>
      <c r="B56" s="13">
        <v>0</v>
      </c>
      <c r="C56" s="13">
        <v>0</v>
      </c>
      <c r="D56" s="13">
        <v>0</v>
      </c>
      <c r="E56" s="13">
        <v>4949</v>
      </c>
      <c r="F56" s="14">
        <f t="shared" si="11"/>
        <v>4949</v>
      </c>
      <c r="G56" s="14">
        <f t="shared" si="16"/>
        <v>3333.3333333333335</v>
      </c>
      <c r="H56" s="13">
        <f t="shared" si="14"/>
        <v>4949</v>
      </c>
      <c r="I56" s="14">
        <f t="shared" si="15"/>
        <v>3333.3333333333335</v>
      </c>
      <c r="J56" s="13">
        <v>40000</v>
      </c>
      <c r="K56" s="34">
        <f t="shared" si="13"/>
        <v>0.123725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39</v>
      </c>
      <c r="B57" s="13">
        <v>0</v>
      </c>
      <c r="C57" s="13">
        <v>0</v>
      </c>
      <c r="D57" s="13">
        <v>0</v>
      </c>
      <c r="E57" s="13">
        <v>24.58</v>
      </c>
      <c r="F57" s="14">
        <f t="shared" si="11"/>
        <v>24.58</v>
      </c>
      <c r="G57" s="14">
        <f t="shared" si="16"/>
        <v>625</v>
      </c>
      <c r="H57" s="13">
        <f t="shared" si="14"/>
        <v>24.58</v>
      </c>
      <c r="I57" s="14">
        <f t="shared" si="15"/>
        <v>625</v>
      </c>
      <c r="J57" s="13">
        <v>7500</v>
      </c>
      <c r="K57" s="34">
        <f t="shared" si="13"/>
        <v>3.2773333333333331E-3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40</v>
      </c>
      <c r="B58" s="13">
        <v>834</v>
      </c>
      <c r="C58" s="13">
        <v>360.5</v>
      </c>
      <c r="D58" s="13">
        <v>0</v>
      </c>
      <c r="E58" s="13">
        <v>0</v>
      </c>
      <c r="F58" s="14">
        <f t="shared" si="11"/>
        <v>1194.5</v>
      </c>
      <c r="G58" s="14">
        <f t="shared" si="16"/>
        <v>875</v>
      </c>
      <c r="H58" s="13">
        <f t="shared" si="14"/>
        <v>1194.5</v>
      </c>
      <c r="I58" s="14">
        <f t="shared" si="15"/>
        <v>875</v>
      </c>
      <c r="J58" s="13">
        <v>10500</v>
      </c>
      <c r="K58" s="34">
        <f t="shared" si="13"/>
        <v>0.11376190476190476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41</v>
      </c>
      <c r="B59" s="13">
        <v>2806.3</v>
      </c>
      <c r="C59" s="13">
        <v>515.91999999999996</v>
      </c>
      <c r="D59" s="13">
        <v>0</v>
      </c>
      <c r="E59" s="13">
        <v>0</v>
      </c>
      <c r="F59" s="14">
        <f t="shared" si="11"/>
        <v>3322.2200000000003</v>
      </c>
      <c r="G59" s="14">
        <f t="shared" si="16"/>
        <v>2500</v>
      </c>
      <c r="H59" s="13">
        <f t="shared" si="14"/>
        <v>3322.2200000000003</v>
      </c>
      <c r="I59" s="14">
        <f t="shared" si="15"/>
        <v>2500</v>
      </c>
      <c r="J59" s="13">
        <v>30000</v>
      </c>
      <c r="K59" s="34">
        <f t="shared" si="13"/>
        <v>0.11074066666666668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42</v>
      </c>
      <c r="B60" s="13">
        <v>0</v>
      </c>
      <c r="C60" s="13">
        <v>0</v>
      </c>
      <c r="D60" s="13">
        <v>0</v>
      </c>
      <c r="E60" s="13">
        <v>0</v>
      </c>
      <c r="F60" s="14">
        <f t="shared" si="11"/>
        <v>0</v>
      </c>
      <c r="G60" s="14">
        <f t="shared" si="16"/>
        <v>13333.333333333334</v>
      </c>
      <c r="H60" s="13">
        <f t="shared" si="14"/>
        <v>0</v>
      </c>
      <c r="I60" s="14">
        <f t="shared" si="15"/>
        <v>13333.333333333334</v>
      </c>
      <c r="J60" s="13">
        <v>160000</v>
      </c>
      <c r="K60" s="34">
        <f t="shared" si="13"/>
        <v>0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43</v>
      </c>
      <c r="B61" s="13">
        <v>0</v>
      </c>
      <c r="C61" s="13">
        <v>0</v>
      </c>
      <c r="D61" s="13">
        <v>0</v>
      </c>
      <c r="E61" s="13">
        <v>3472.74</v>
      </c>
      <c r="F61" s="14">
        <f t="shared" si="11"/>
        <v>3472.74</v>
      </c>
      <c r="G61" s="14">
        <f t="shared" si="16"/>
        <v>3333.3333333333335</v>
      </c>
      <c r="H61" s="13">
        <f t="shared" si="14"/>
        <v>3472.74</v>
      </c>
      <c r="I61" s="14">
        <f t="shared" si="15"/>
        <v>3333.3333333333335</v>
      </c>
      <c r="J61" s="13">
        <v>40000</v>
      </c>
      <c r="K61" s="34">
        <f t="shared" si="13"/>
        <v>8.6818499999999993E-2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44</v>
      </c>
      <c r="B62" s="13">
        <v>0</v>
      </c>
      <c r="C62" s="13">
        <v>0</v>
      </c>
      <c r="D62" s="13">
        <v>0</v>
      </c>
      <c r="E62" s="13">
        <v>22802</v>
      </c>
      <c r="F62" s="14">
        <f t="shared" si="11"/>
        <v>22802</v>
      </c>
      <c r="G62" s="14">
        <f t="shared" si="16"/>
        <v>1583.3333333333333</v>
      </c>
      <c r="H62" s="13">
        <f t="shared" si="14"/>
        <v>22802</v>
      </c>
      <c r="I62" s="14">
        <f t="shared" si="15"/>
        <v>1583.3333333333333</v>
      </c>
      <c r="J62" s="13">
        <v>19000</v>
      </c>
      <c r="K62" s="34">
        <f t="shared" si="13"/>
        <v>1.2001052631578948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45</v>
      </c>
      <c r="B63" s="13">
        <v>0</v>
      </c>
      <c r="C63" s="13">
        <v>1440.04</v>
      </c>
      <c r="D63" s="13">
        <v>0</v>
      </c>
      <c r="E63" s="13">
        <v>0</v>
      </c>
      <c r="F63" s="14">
        <f t="shared" si="11"/>
        <v>1440.04</v>
      </c>
      <c r="G63" s="14">
        <f t="shared" si="16"/>
        <v>1416.6666666666667</v>
      </c>
      <c r="H63" s="13">
        <f t="shared" si="14"/>
        <v>1440.04</v>
      </c>
      <c r="I63" s="14">
        <f t="shared" si="15"/>
        <v>1416.6666666666667</v>
      </c>
      <c r="J63" s="13">
        <v>17000</v>
      </c>
      <c r="K63" s="34">
        <f t="shared" si="13"/>
        <v>8.470823529411764E-2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46</v>
      </c>
      <c r="B64" s="13">
        <v>0</v>
      </c>
      <c r="C64" s="13">
        <v>0</v>
      </c>
      <c r="D64" s="13">
        <v>0</v>
      </c>
      <c r="E64" s="13">
        <v>0</v>
      </c>
      <c r="F64" s="14">
        <f t="shared" si="11"/>
        <v>0</v>
      </c>
      <c r="G64" s="14">
        <f t="shared" si="16"/>
        <v>1666.6666666666667</v>
      </c>
      <c r="H64" s="13">
        <f t="shared" si="14"/>
        <v>0</v>
      </c>
      <c r="I64" s="14">
        <f t="shared" si="15"/>
        <v>1666.6666666666667</v>
      </c>
      <c r="J64" s="13">
        <v>20000</v>
      </c>
      <c r="K64" s="34">
        <f t="shared" si="13"/>
        <v>0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47</v>
      </c>
      <c r="B65" s="13">
        <v>11240.36</v>
      </c>
      <c r="C65" s="13">
        <v>0</v>
      </c>
      <c r="D65" s="13">
        <v>0</v>
      </c>
      <c r="E65" s="13">
        <v>0</v>
      </c>
      <c r="F65" s="14">
        <f t="shared" si="11"/>
        <v>11240.36</v>
      </c>
      <c r="G65" s="14">
        <f t="shared" si="16"/>
        <v>12541.666666666666</v>
      </c>
      <c r="H65" s="13">
        <f t="shared" si="14"/>
        <v>11240.36</v>
      </c>
      <c r="I65" s="14">
        <f t="shared" si="15"/>
        <v>12541.666666666666</v>
      </c>
      <c r="J65" s="13">
        <v>150500</v>
      </c>
      <c r="K65" s="34">
        <f t="shared" si="13"/>
        <v>7.4686777408637883E-2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48</v>
      </c>
      <c r="B66" s="13">
        <v>0</v>
      </c>
      <c r="C66" s="13">
        <v>0</v>
      </c>
      <c r="D66" s="13">
        <v>0</v>
      </c>
      <c r="E66" s="13">
        <v>0</v>
      </c>
      <c r="F66" s="14">
        <f t="shared" si="11"/>
        <v>0</v>
      </c>
      <c r="G66" s="14">
        <f t="shared" si="16"/>
        <v>83.333333333333329</v>
      </c>
      <c r="H66" s="13">
        <f t="shared" si="14"/>
        <v>0</v>
      </c>
      <c r="I66" s="14">
        <f t="shared" si="15"/>
        <v>83.333333333333329</v>
      </c>
      <c r="J66" s="13">
        <v>1000</v>
      </c>
      <c r="K66" s="34">
        <f t="shared" si="13"/>
        <v>0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49</v>
      </c>
      <c r="B67" s="13">
        <v>0</v>
      </c>
      <c r="C67" s="13">
        <v>0</v>
      </c>
      <c r="D67" s="13">
        <v>0</v>
      </c>
      <c r="E67" s="13">
        <v>0</v>
      </c>
      <c r="F67" s="14">
        <f t="shared" si="11"/>
        <v>0</v>
      </c>
      <c r="G67" s="14">
        <f t="shared" si="16"/>
        <v>208.33333333333334</v>
      </c>
      <c r="H67" s="13">
        <f t="shared" si="14"/>
        <v>0</v>
      </c>
      <c r="I67" s="14">
        <f t="shared" si="15"/>
        <v>208.33333333333334</v>
      </c>
      <c r="J67" s="13">
        <v>2500</v>
      </c>
      <c r="K67" s="34">
        <f t="shared" si="13"/>
        <v>0</v>
      </c>
      <c r="L67" s="1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11" t="s">
        <v>50</v>
      </c>
      <c r="B68" s="13">
        <v>0</v>
      </c>
      <c r="C68" s="13">
        <v>0</v>
      </c>
      <c r="D68" s="13">
        <v>0</v>
      </c>
      <c r="E68" s="13">
        <v>0</v>
      </c>
      <c r="F68" s="14">
        <f t="shared" si="11"/>
        <v>0</v>
      </c>
      <c r="G68" s="14">
        <f t="shared" si="16"/>
        <v>2500</v>
      </c>
      <c r="H68" s="13">
        <f t="shared" si="14"/>
        <v>0</v>
      </c>
      <c r="I68" s="14">
        <f t="shared" si="15"/>
        <v>2500</v>
      </c>
      <c r="J68" s="13">
        <v>30000</v>
      </c>
      <c r="K68" s="34">
        <f t="shared" si="13"/>
        <v>0</v>
      </c>
      <c r="L68" s="1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11" t="s">
        <v>52</v>
      </c>
      <c r="B69" s="13">
        <v>0</v>
      </c>
      <c r="C69" s="13">
        <v>3411.41</v>
      </c>
      <c r="D69" s="13">
        <v>0</v>
      </c>
      <c r="E69" s="13">
        <v>0</v>
      </c>
      <c r="F69" s="14">
        <f t="shared" si="11"/>
        <v>3411.41</v>
      </c>
      <c r="G69" s="14">
        <f t="shared" si="16"/>
        <v>4000</v>
      </c>
      <c r="H69" s="13">
        <f t="shared" si="14"/>
        <v>3411.41</v>
      </c>
      <c r="I69" s="14">
        <f t="shared" si="15"/>
        <v>4000</v>
      </c>
      <c r="J69" s="13">
        <v>48000</v>
      </c>
      <c r="K69" s="34">
        <f t="shared" si="13"/>
        <v>7.1071041666666668E-2</v>
      </c>
      <c r="L69" s="1"/>
      <c r="M69" s="2"/>
      <c r="N69" s="2"/>
      <c r="O69" s="2"/>
      <c r="P69" s="3"/>
      <c r="R69" s="3"/>
    </row>
    <row r="70" spans="1:20" x14ac:dyDescent="0.2">
      <c r="A70" s="11" t="s">
        <v>53</v>
      </c>
      <c r="B70" s="13">
        <v>0</v>
      </c>
      <c r="C70" s="13">
        <v>281.23</v>
      </c>
      <c r="D70" s="13">
        <v>0</v>
      </c>
      <c r="E70" s="13">
        <v>0</v>
      </c>
      <c r="F70" s="14">
        <f t="shared" si="11"/>
        <v>281.23</v>
      </c>
      <c r="G70" s="14">
        <f t="shared" si="16"/>
        <v>833.33333333333337</v>
      </c>
      <c r="H70" s="13">
        <f t="shared" si="14"/>
        <v>281.23</v>
      </c>
      <c r="I70" s="14">
        <f t="shared" si="15"/>
        <v>833.33333333333337</v>
      </c>
      <c r="J70" s="13">
        <v>10000</v>
      </c>
      <c r="K70" s="34">
        <f t="shared" si="13"/>
        <v>2.8123000000000002E-2</v>
      </c>
    </row>
    <row r="71" spans="1:20" x14ac:dyDescent="0.2">
      <c r="A71" s="11" t="s">
        <v>54</v>
      </c>
      <c r="B71" s="13">
        <v>0</v>
      </c>
      <c r="C71" s="13">
        <v>0</v>
      </c>
      <c r="D71" s="13">
        <v>0</v>
      </c>
      <c r="E71" s="13">
        <v>0</v>
      </c>
      <c r="F71" s="14">
        <f t="shared" si="11"/>
        <v>0</v>
      </c>
      <c r="G71" s="14">
        <f t="shared" si="16"/>
        <v>4.166666666666667</v>
      </c>
      <c r="H71" s="13">
        <f t="shared" si="14"/>
        <v>0</v>
      </c>
      <c r="I71" s="14">
        <f t="shared" si="15"/>
        <v>4.166666666666667</v>
      </c>
      <c r="J71" s="13">
        <v>50</v>
      </c>
      <c r="K71" s="34">
        <f t="shared" si="13"/>
        <v>0</v>
      </c>
    </row>
    <row r="72" spans="1:20" x14ac:dyDescent="0.2">
      <c r="A72" s="11" t="s">
        <v>72</v>
      </c>
      <c r="B72" s="13">
        <v>0</v>
      </c>
      <c r="C72" s="13">
        <v>0</v>
      </c>
      <c r="D72" s="13">
        <v>0</v>
      </c>
      <c r="E72" s="13">
        <v>0</v>
      </c>
      <c r="F72" s="14">
        <f t="shared" si="11"/>
        <v>0</v>
      </c>
      <c r="G72" s="14">
        <f t="shared" si="16"/>
        <v>1666.6666666666667</v>
      </c>
      <c r="H72" s="13">
        <f t="shared" si="14"/>
        <v>0</v>
      </c>
      <c r="I72" s="14">
        <f t="shared" si="15"/>
        <v>1666.6666666666667</v>
      </c>
      <c r="J72" s="13">
        <v>20000</v>
      </c>
      <c r="K72" s="33">
        <f t="shared" si="13"/>
        <v>0</v>
      </c>
    </row>
    <row r="73" spans="1:20" x14ac:dyDescent="0.2">
      <c r="A73" s="11" t="s">
        <v>55</v>
      </c>
      <c r="B73" s="35">
        <f t="shared" ref="B73:I73" si="17">SUM(B26:B72)</f>
        <v>76949.67</v>
      </c>
      <c r="C73" s="35">
        <f t="shared" si="17"/>
        <v>265230.88999999996</v>
      </c>
      <c r="D73" s="36">
        <f t="shared" si="17"/>
        <v>167260.08000000002</v>
      </c>
      <c r="E73" s="36">
        <f t="shared" si="17"/>
        <v>33284.15</v>
      </c>
      <c r="F73" s="35">
        <f t="shared" si="17"/>
        <v>542724.79</v>
      </c>
      <c r="G73" s="35">
        <f t="shared" si="17"/>
        <v>363791.66666666663</v>
      </c>
      <c r="H73" s="35">
        <f t="shared" si="17"/>
        <v>542724.79</v>
      </c>
      <c r="I73" s="35">
        <f t="shared" si="17"/>
        <v>363791.66666666663</v>
      </c>
      <c r="J73" s="36">
        <f>SUM(J46:J72)+SUM(J26:J38)</f>
        <v>4365500</v>
      </c>
      <c r="K73" s="37">
        <f t="shared" si="13"/>
        <v>0.12432133547130914</v>
      </c>
    </row>
    <row r="74" spans="1:20" x14ac:dyDescent="0.2">
      <c r="B74" s="14"/>
      <c r="C74" s="14" t="s">
        <v>69</v>
      </c>
      <c r="D74" s="13"/>
      <c r="E74" s="13"/>
      <c r="F74" s="14"/>
      <c r="G74" s="14"/>
      <c r="H74" s="14"/>
      <c r="I74" s="14"/>
      <c r="J74" s="13"/>
    </row>
    <row r="75" spans="1:20" ht="13.5" thickBot="1" x14ac:dyDescent="0.25">
      <c r="A75" s="11" t="s">
        <v>56</v>
      </c>
      <c r="B75" s="38">
        <f t="shared" ref="B75:H75" si="18">B21-B73</f>
        <v>-76949.67</v>
      </c>
      <c r="C75" s="38">
        <f t="shared" si="18"/>
        <v>-98144.129999999976</v>
      </c>
      <c r="D75" s="39">
        <f t="shared" si="18"/>
        <v>-15898</v>
      </c>
      <c r="E75" s="39">
        <f t="shared" si="18"/>
        <v>-6067.9900000000052</v>
      </c>
      <c r="F75" s="38">
        <f t="shared" si="18"/>
        <v>-197059.7900000001</v>
      </c>
      <c r="G75" s="38">
        <f t="shared" si="18"/>
        <v>0</v>
      </c>
      <c r="H75" s="38">
        <f t="shared" si="18"/>
        <v>-197059.7900000001</v>
      </c>
      <c r="I75" s="10"/>
      <c r="J75" s="12"/>
    </row>
    <row r="76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6"/>
  <sheetViews>
    <sheetView zoomScaleNormal="100" workbookViewId="0">
      <selection activeCell="L29" sqref="L29"/>
    </sheetView>
  </sheetViews>
  <sheetFormatPr defaultRowHeight="12.75" x14ac:dyDescent="0.2"/>
  <cols>
    <col min="1" max="1" width="28.7109375" style="10" bestFit="1" customWidth="1"/>
    <col min="2" max="2" width="9.710937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0.7109375" bestFit="1" customWidth="1"/>
    <col min="8" max="8" width="10.140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D1" s="31" t="s">
        <v>74</v>
      </c>
    </row>
    <row r="3" spans="1:10" ht="15.75" x14ac:dyDescent="0.25">
      <c r="D3" s="31" t="s">
        <v>85</v>
      </c>
    </row>
    <row r="6" spans="1:10" x14ac:dyDescent="0.2">
      <c r="B6" s="1" t="s">
        <v>57</v>
      </c>
      <c r="C6" t="s">
        <v>58</v>
      </c>
      <c r="D6" s="8" t="s">
        <v>59</v>
      </c>
      <c r="E6" s="1" t="s">
        <v>60</v>
      </c>
      <c r="F6" s="1" t="s">
        <v>61</v>
      </c>
      <c r="G6" s="1" t="s">
        <v>62</v>
      </c>
      <c r="H6" s="1" t="s">
        <v>62</v>
      </c>
      <c r="I6" s="8" t="s">
        <v>63</v>
      </c>
      <c r="J6" s="16">
        <v>0.1666</v>
      </c>
    </row>
    <row r="7" spans="1:10" x14ac:dyDescent="0.2">
      <c r="B7" s="1"/>
      <c r="D7" s="8"/>
      <c r="E7" s="1" t="s">
        <v>64</v>
      </c>
      <c r="F7" s="1" t="s">
        <v>65</v>
      </c>
      <c r="G7" s="1" t="s">
        <v>66</v>
      </c>
      <c r="H7" s="1" t="s">
        <v>67</v>
      </c>
      <c r="I7" s="8" t="s">
        <v>67</v>
      </c>
      <c r="J7" s="17" t="s">
        <v>65</v>
      </c>
    </row>
    <row r="8" spans="1:10" x14ac:dyDescent="0.2">
      <c r="A8" s="11" t="s">
        <v>0</v>
      </c>
      <c r="J8" s="17" t="s">
        <v>75</v>
      </c>
    </row>
    <row r="9" spans="1:10" x14ac:dyDescent="0.2">
      <c r="A9" s="11" t="s">
        <v>1</v>
      </c>
      <c r="B9" s="13">
        <v>0</v>
      </c>
      <c r="C9" s="13">
        <v>0</v>
      </c>
      <c r="D9" s="13">
        <v>139514.84</v>
      </c>
      <c r="E9" s="14">
        <f>+B9+C9+D9</f>
        <v>139514.84</v>
      </c>
      <c r="F9" s="14">
        <f>I9/12</f>
        <v>148333.33333333334</v>
      </c>
      <c r="G9" s="13">
        <v>283716.11</v>
      </c>
      <c r="H9" s="14">
        <f>F9*2</f>
        <v>296666.66666666669</v>
      </c>
      <c r="I9" s="13">
        <v>1780000</v>
      </c>
      <c r="J9" s="32">
        <f>+G9/I9</f>
        <v>0.15939107303370786</v>
      </c>
    </row>
    <row r="10" spans="1:10" x14ac:dyDescent="0.2">
      <c r="A10" s="11" t="s">
        <v>2</v>
      </c>
      <c r="B10" s="13">
        <v>0</v>
      </c>
      <c r="C10" s="13">
        <v>794.22</v>
      </c>
      <c r="D10" s="13">
        <v>5707.72</v>
      </c>
      <c r="E10" s="14">
        <f t="shared" ref="E10:E20" si="0">+B10+C10+D10</f>
        <v>6501.9400000000005</v>
      </c>
      <c r="F10" s="14">
        <f t="shared" ref="F10:F20" si="1">I10/12</f>
        <v>6083.333333333333</v>
      </c>
      <c r="G10" s="13">
        <v>13161.72</v>
      </c>
      <c r="H10" s="14">
        <f t="shared" ref="H10:H20" si="2">F10*2</f>
        <v>12166.666666666666</v>
      </c>
      <c r="I10" s="13">
        <v>73000</v>
      </c>
      <c r="J10" s="32">
        <f t="shared" ref="J10:J21" si="3">+G10/I10</f>
        <v>0.18029753424657533</v>
      </c>
    </row>
    <row r="11" spans="1:10" x14ac:dyDescent="0.2">
      <c r="A11" s="11" t="s">
        <v>71</v>
      </c>
      <c r="B11" s="13">
        <v>0</v>
      </c>
      <c r="C11" s="13">
        <v>0</v>
      </c>
      <c r="D11" s="13">
        <v>0</v>
      </c>
      <c r="E11" s="14">
        <f t="shared" si="0"/>
        <v>0</v>
      </c>
      <c r="F11" s="14">
        <f t="shared" si="1"/>
        <v>1250</v>
      </c>
      <c r="G11" s="13">
        <f t="shared" ref="G11" si="4">E11</f>
        <v>0</v>
      </c>
      <c r="H11" s="14">
        <f t="shared" si="2"/>
        <v>2500</v>
      </c>
      <c r="I11" s="13">
        <v>15000</v>
      </c>
      <c r="J11" s="32">
        <f t="shared" si="3"/>
        <v>0</v>
      </c>
    </row>
    <row r="12" spans="1:10" x14ac:dyDescent="0.2">
      <c r="A12" s="11" t="s">
        <v>3</v>
      </c>
      <c r="B12" s="13">
        <v>0</v>
      </c>
      <c r="C12" s="13">
        <v>0</v>
      </c>
      <c r="D12" s="13">
        <f>1942.49+1214.37</f>
        <v>3156.8599999999997</v>
      </c>
      <c r="E12" s="14">
        <f t="shared" si="0"/>
        <v>3156.8599999999997</v>
      </c>
      <c r="F12" s="14">
        <f t="shared" si="1"/>
        <v>3333.3333333333335</v>
      </c>
      <c r="G12" s="13">
        <f>3825.08+1712.53</f>
        <v>5537.61</v>
      </c>
      <c r="H12" s="14">
        <f t="shared" si="2"/>
        <v>6666.666666666667</v>
      </c>
      <c r="I12" s="13">
        <v>40000</v>
      </c>
      <c r="J12" s="32">
        <f t="shared" si="3"/>
        <v>0.13844024999999999</v>
      </c>
    </row>
    <row r="13" spans="1:10" x14ac:dyDescent="0.2">
      <c r="A13" s="11" t="s">
        <v>4</v>
      </c>
      <c r="B13" s="13">
        <v>0</v>
      </c>
      <c r="C13" s="13">
        <v>0</v>
      </c>
      <c r="D13" s="13">
        <v>45098.64</v>
      </c>
      <c r="E13" s="14">
        <f t="shared" si="0"/>
        <v>45098.64</v>
      </c>
      <c r="F13" s="14">
        <f t="shared" si="1"/>
        <v>8333.3333333333339</v>
      </c>
      <c r="G13" s="13">
        <v>45285.279999999999</v>
      </c>
      <c r="H13" s="14">
        <f t="shared" si="2"/>
        <v>16666.666666666668</v>
      </c>
      <c r="I13" s="13">
        <v>100000</v>
      </c>
      <c r="J13" s="32">
        <f t="shared" si="3"/>
        <v>0.4528528</v>
      </c>
    </row>
    <row r="14" spans="1:10" x14ac:dyDescent="0.2">
      <c r="A14" s="11" t="s">
        <v>5</v>
      </c>
      <c r="B14" s="13">
        <v>0</v>
      </c>
      <c r="C14" s="13">
        <v>109198.47</v>
      </c>
      <c r="D14" s="13">
        <v>0</v>
      </c>
      <c r="E14" s="14">
        <f t="shared" si="0"/>
        <v>109198.47</v>
      </c>
      <c r="F14" s="14">
        <f t="shared" si="1"/>
        <v>121666.66666666667</v>
      </c>
      <c r="G14" s="13">
        <v>219383.02</v>
      </c>
      <c r="H14" s="14">
        <f t="shared" si="2"/>
        <v>243333.33333333334</v>
      </c>
      <c r="I14" s="13">
        <v>1460000</v>
      </c>
      <c r="J14" s="32">
        <f t="shared" si="3"/>
        <v>0.15026234246575343</v>
      </c>
    </row>
    <row r="15" spans="1:10" x14ac:dyDescent="0.2">
      <c r="A15" s="11" t="s">
        <v>6</v>
      </c>
      <c r="B15" s="13">
        <v>0</v>
      </c>
      <c r="C15" s="13">
        <v>901.32</v>
      </c>
      <c r="D15" s="13">
        <v>0</v>
      </c>
      <c r="E15" s="14">
        <f t="shared" si="0"/>
        <v>901.32</v>
      </c>
      <c r="F15" s="14">
        <f t="shared" si="1"/>
        <v>916.66666666666663</v>
      </c>
      <c r="G15" s="13">
        <v>1338.3</v>
      </c>
      <c r="H15" s="14">
        <f t="shared" si="2"/>
        <v>1833.3333333333333</v>
      </c>
      <c r="I15" s="13">
        <v>11000</v>
      </c>
      <c r="J15" s="32">
        <f t="shared" si="3"/>
        <v>0.12166363636363636</v>
      </c>
    </row>
    <row r="16" spans="1:10" x14ac:dyDescent="0.2">
      <c r="A16" s="11" t="s">
        <v>7</v>
      </c>
      <c r="B16" s="13">
        <v>0</v>
      </c>
      <c r="C16" s="13">
        <v>30155.77</v>
      </c>
      <c r="D16" s="13">
        <v>0</v>
      </c>
      <c r="E16" s="14">
        <f t="shared" si="0"/>
        <v>30155.77</v>
      </c>
      <c r="F16" s="14">
        <f t="shared" si="1"/>
        <v>15833.333333333334</v>
      </c>
      <c r="G16" s="13">
        <v>49573.94</v>
      </c>
      <c r="H16" s="14">
        <f t="shared" si="2"/>
        <v>31666.666666666668</v>
      </c>
      <c r="I16" s="13">
        <v>190000</v>
      </c>
      <c r="J16" s="32">
        <f t="shared" si="3"/>
        <v>0.26091547368421053</v>
      </c>
    </row>
    <row r="17" spans="1:11" x14ac:dyDescent="0.2">
      <c r="A17" s="11" t="s">
        <v>8</v>
      </c>
      <c r="B17" s="13">
        <v>0</v>
      </c>
      <c r="C17" s="13">
        <v>339.55</v>
      </c>
      <c r="D17" s="13">
        <v>0</v>
      </c>
      <c r="E17" s="14">
        <f t="shared" si="0"/>
        <v>339.55</v>
      </c>
      <c r="F17" s="14">
        <f t="shared" si="1"/>
        <v>625</v>
      </c>
      <c r="G17" s="13">
        <v>564.54999999999995</v>
      </c>
      <c r="H17" s="14">
        <f t="shared" si="2"/>
        <v>1250</v>
      </c>
      <c r="I17" s="13">
        <v>7500</v>
      </c>
      <c r="J17" s="32">
        <f t="shared" si="3"/>
        <v>7.5273333333333331E-2</v>
      </c>
    </row>
    <row r="18" spans="1:11" x14ac:dyDescent="0.2">
      <c r="A18" s="11" t="s">
        <v>9</v>
      </c>
      <c r="B18" s="13">
        <v>0</v>
      </c>
      <c r="C18" s="13">
        <v>2909.11</v>
      </c>
      <c r="D18" s="13">
        <v>0</v>
      </c>
      <c r="E18" s="14">
        <f t="shared" si="0"/>
        <v>2909.11</v>
      </c>
      <c r="F18" s="14">
        <f t="shared" si="1"/>
        <v>4166.666666666667</v>
      </c>
      <c r="G18" s="13">
        <v>4708.09</v>
      </c>
      <c r="H18" s="14">
        <f t="shared" si="2"/>
        <v>8333.3333333333339</v>
      </c>
      <c r="I18" s="13">
        <v>50000</v>
      </c>
      <c r="J18" s="32">
        <f t="shared" si="3"/>
        <v>9.4161800000000004E-2</v>
      </c>
    </row>
    <row r="19" spans="1:11" x14ac:dyDescent="0.2">
      <c r="A19" s="11" t="s">
        <v>10</v>
      </c>
      <c r="B19" s="13">
        <v>0</v>
      </c>
      <c r="C19" s="13">
        <v>47046.98</v>
      </c>
      <c r="D19" s="13">
        <v>0</v>
      </c>
      <c r="E19" s="14">
        <f t="shared" si="0"/>
        <v>47046.98</v>
      </c>
      <c r="F19" s="14">
        <f t="shared" si="1"/>
        <v>48666.666666666664</v>
      </c>
      <c r="G19" s="13">
        <v>100831.21</v>
      </c>
      <c r="H19" s="14">
        <f t="shared" si="2"/>
        <v>97333.333333333328</v>
      </c>
      <c r="I19" s="13">
        <v>584000</v>
      </c>
      <c r="J19" s="32">
        <f t="shared" si="3"/>
        <v>0.17265618150684933</v>
      </c>
    </row>
    <row r="20" spans="1:11" x14ac:dyDescent="0.2">
      <c r="A20" s="11" t="s">
        <v>11</v>
      </c>
      <c r="B20" s="13">
        <v>0</v>
      </c>
      <c r="C20" s="13">
        <v>8125</v>
      </c>
      <c r="D20" s="13">
        <v>0</v>
      </c>
      <c r="E20" s="14">
        <f t="shared" si="0"/>
        <v>8125</v>
      </c>
      <c r="F20" s="14">
        <f t="shared" si="1"/>
        <v>4583.333333333333</v>
      </c>
      <c r="G20" s="13">
        <v>15922.99</v>
      </c>
      <c r="H20" s="14">
        <f t="shared" si="2"/>
        <v>9166.6666666666661</v>
      </c>
      <c r="I20" s="13">
        <v>55000</v>
      </c>
      <c r="J20" s="33">
        <f t="shared" si="3"/>
        <v>0.28950890909090909</v>
      </c>
    </row>
    <row r="21" spans="1:11" x14ac:dyDescent="0.2">
      <c r="A21" s="11" t="s">
        <v>12</v>
      </c>
      <c r="B21" s="35">
        <f t="shared" ref="B21:I21" si="5">SUM(B9:B20)</f>
        <v>0</v>
      </c>
      <c r="C21" s="35">
        <f t="shared" si="5"/>
        <v>199470.41999999998</v>
      </c>
      <c r="D21" s="36">
        <f t="shared" si="5"/>
        <v>193478.06</v>
      </c>
      <c r="E21" s="35">
        <f t="shared" si="5"/>
        <v>392948.47999999998</v>
      </c>
      <c r="F21" s="35">
        <f t="shared" si="5"/>
        <v>363791.66666666674</v>
      </c>
      <c r="G21" s="35">
        <f t="shared" si="5"/>
        <v>740022.82</v>
      </c>
      <c r="H21" s="35">
        <f>SUM(H9:H20)</f>
        <v>727583.33333333349</v>
      </c>
      <c r="I21" s="36">
        <f t="shared" si="5"/>
        <v>4365500</v>
      </c>
      <c r="J21" s="40">
        <f t="shared" si="3"/>
        <v>0.16951616538769898</v>
      </c>
      <c r="K21" s="2"/>
    </row>
    <row r="22" spans="1:11" x14ac:dyDescent="0.2">
      <c r="A22" s="11"/>
    </row>
    <row r="23" spans="1:11" x14ac:dyDescent="0.2">
      <c r="A23" s="11" t="s">
        <v>13</v>
      </c>
      <c r="B23" s="1" t="s">
        <v>57</v>
      </c>
      <c r="C23" t="s">
        <v>58</v>
      </c>
      <c r="D23" s="8" t="s">
        <v>59</v>
      </c>
      <c r="E23" s="1" t="s">
        <v>60</v>
      </c>
      <c r="F23" s="1" t="s">
        <v>61</v>
      </c>
      <c r="G23" s="1" t="s">
        <v>62</v>
      </c>
      <c r="H23" s="1" t="s">
        <v>62</v>
      </c>
      <c r="I23" s="8" t="s">
        <v>63</v>
      </c>
      <c r="J23" s="16">
        <f>+J6</f>
        <v>0.1666</v>
      </c>
    </row>
    <row r="24" spans="1:11" x14ac:dyDescent="0.2">
      <c r="A24" s="11"/>
      <c r="B24" s="1"/>
      <c r="D24" s="8"/>
      <c r="E24" s="1" t="s">
        <v>68</v>
      </c>
      <c r="F24" s="1" t="s">
        <v>65</v>
      </c>
      <c r="G24" s="1" t="s">
        <v>68</v>
      </c>
      <c r="H24" s="1" t="s">
        <v>67</v>
      </c>
      <c r="I24" s="8" t="s">
        <v>67</v>
      </c>
      <c r="J24" s="17" t="s">
        <v>65</v>
      </c>
    </row>
    <row r="25" spans="1:11" x14ac:dyDescent="0.2">
      <c r="A25" s="11"/>
      <c r="B25" s="1"/>
      <c r="D25" s="8"/>
      <c r="E25" s="1"/>
      <c r="F25" s="1"/>
      <c r="G25" s="1"/>
      <c r="H25" s="1"/>
      <c r="I25" s="8"/>
      <c r="J25" s="17" t="s">
        <v>75</v>
      </c>
    </row>
    <row r="26" spans="1:11" x14ac:dyDescent="0.2">
      <c r="A26" s="11" t="s">
        <v>14</v>
      </c>
      <c r="B26" s="13">
        <v>23578.61</v>
      </c>
      <c r="C26" s="13">
        <v>31704.53</v>
      </c>
      <c r="D26" s="13">
        <v>15090.4</v>
      </c>
      <c r="E26" s="14">
        <f t="shared" ref="E26:E38" si="6">B26+C26+D26</f>
        <v>70373.539999999994</v>
      </c>
      <c r="F26" s="14">
        <f t="shared" ref="F26:F38" si="7">I26/12</f>
        <v>84166.666666666672</v>
      </c>
      <c r="G26" s="13">
        <v>139692.76</v>
      </c>
      <c r="H26" s="14">
        <f t="shared" ref="H26:H38" si="8">F26*2</f>
        <v>168333.33333333334</v>
      </c>
      <c r="I26" s="13">
        <v>1010000</v>
      </c>
      <c r="J26" s="34">
        <f t="shared" ref="J26:J38" si="9">+G26/I26</f>
        <v>0.13830966336633665</v>
      </c>
    </row>
    <row r="27" spans="1:11" x14ac:dyDescent="0.2">
      <c r="A27" s="11" t="s">
        <v>15</v>
      </c>
      <c r="B27" s="13">
        <v>1938.66</v>
      </c>
      <c r="C27" s="13">
        <v>2834.48</v>
      </c>
      <c r="D27" s="13">
        <v>1233.26</v>
      </c>
      <c r="E27" s="14">
        <f t="shared" si="6"/>
        <v>6006.4000000000005</v>
      </c>
      <c r="F27" s="14">
        <f t="shared" si="7"/>
        <v>6666.666666666667</v>
      </c>
      <c r="G27" s="13">
        <v>11918.02</v>
      </c>
      <c r="H27" s="14">
        <f t="shared" si="8"/>
        <v>13333.333333333334</v>
      </c>
      <c r="I27" s="13">
        <v>80000</v>
      </c>
      <c r="J27" s="34">
        <f t="shared" si="9"/>
        <v>0.14897525</v>
      </c>
    </row>
    <row r="28" spans="1:11" x14ac:dyDescent="0.2">
      <c r="A28" s="11" t="s">
        <v>16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625</v>
      </c>
      <c r="G28" s="13">
        <f t="shared" ref="G28:G37" si="10">E28</f>
        <v>0</v>
      </c>
      <c r="H28" s="14">
        <f t="shared" si="8"/>
        <v>1250</v>
      </c>
      <c r="I28" s="13">
        <v>7500</v>
      </c>
      <c r="J28" s="34">
        <f t="shared" si="9"/>
        <v>0</v>
      </c>
    </row>
    <row r="29" spans="1:11" x14ac:dyDescent="0.2">
      <c r="A29" s="11" t="s">
        <v>17</v>
      </c>
      <c r="B29" s="13">
        <v>2031.36</v>
      </c>
      <c r="C29" s="13">
        <v>754.88</v>
      </c>
      <c r="D29" s="13">
        <v>1116.8</v>
      </c>
      <c r="E29" s="14">
        <f t="shared" si="6"/>
        <v>3903.04</v>
      </c>
      <c r="F29" s="14">
        <f t="shared" si="7"/>
        <v>3600</v>
      </c>
      <c r="G29" s="13">
        <v>7781.16</v>
      </c>
      <c r="H29" s="14">
        <f t="shared" si="8"/>
        <v>7200</v>
      </c>
      <c r="I29" s="13">
        <v>43200</v>
      </c>
      <c r="J29" s="34">
        <f t="shared" si="9"/>
        <v>0.18011944444444444</v>
      </c>
    </row>
    <row r="30" spans="1:11" x14ac:dyDescent="0.2">
      <c r="A30" s="11" t="s">
        <v>18</v>
      </c>
      <c r="B30" s="13">
        <v>0</v>
      </c>
      <c r="C30" s="13">
        <v>0</v>
      </c>
      <c r="D30" s="13">
        <v>20912.36</v>
      </c>
      <c r="E30" s="14">
        <f t="shared" si="6"/>
        <v>20912.36</v>
      </c>
      <c r="F30" s="14">
        <f t="shared" si="7"/>
        <v>8750</v>
      </c>
      <c r="G30" s="13">
        <f t="shared" si="10"/>
        <v>20912.36</v>
      </c>
      <c r="H30" s="14">
        <f t="shared" si="8"/>
        <v>17500</v>
      </c>
      <c r="I30" s="13">
        <v>105000</v>
      </c>
      <c r="J30" s="34">
        <f t="shared" si="9"/>
        <v>0.19916533333333333</v>
      </c>
    </row>
    <row r="31" spans="1:11" x14ac:dyDescent="0.2">
      <c r="A31" s="11" t="s">
        <v>19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833.33333333333337</v>
      </c>
      <c r="G31" s="13">
        <f t="shared" si="10"/>
        <v>0</v>
      </c>
      <c r="H31" s="14">
        <f t="shared" si="8"/>
        <v>1666.6666666666667</v>
      </c>
      <c r="I31" s="13">
        <f>10000</f>
        <v>10000</v>
      </c>
      <c r="J31" s="34">
        <f t="shared" si="9"/>
        <v>0</v>
      </c>
    </row>
    <row r="32" spans="1:11" x14ac:dyDescent="0.2">
      <c r="A32" s="11" t="s">
        <v>20</v>
      </c>
      <c r="B32" s="13">
        <v>0</v>
      </c>
      <c r="C32" s="13">
        <v>0</v>
      </c>
      <c r="D32" s="13">
        <v>0</v>
      </c>
      <c r="E32" s="14">
        <f t="shared" si="6"/>
        <v>0</v>
      </c>
      <c r="F32" s="14">
        <f t="shared" si="7"/>
        <v>2083.3333333333335</v>
      </c>
      <c r="G32" s="13">
        <f t="shared" si="10"/>
        <v>0</v>
      </c>
      <c r="H32" s="14">
        <f t="shared" si="8"/>
        <v>4166.666666666667</v>
      </c>
      <c r="I32" s="13">
        <v>25000</v>
      </c>
      <c r="J32" s="34">
        <f t="shared" si="9"/>
        <v>0</v>
      </c>
    </row>
    <row r="33" spans="1:19" x14ac:dyDescent="0.2">
      <c r="A33" s="11" t="s">
        <v>21</v>
      </c>
      <c r="B33" s="13">
        <v>0</v>
      </c>
      <c r="C33" s="13">
        <v>0</v>
      </c>
      <c r="D33" s="13">
        <v>0</v>
      </c>
      <c r="E33" s="14">
        <f t="shared" si="6"/>
        <v>0</v>
      </c>
      <c r="F33" s="14">
        <f t="shared" si="7"/>
        <v>1750</v>
      </c>
      <c r="G33" s="13">
        <f t="shared" si="10"/>
        <v>0</v>
      </c>
      <c r="H33" s="14">
        <f t="shared" si="8"/>
        <v>3500</v>
      </c>
      <c r="I33" s="13">
        <v>21000</v>
      </c>
      <c r="J33" s="34">
        <f t="shared" si="9"/>
        <v>0</v>
      </c>
    </row>
    <row r="34" spans="1:19" x14ac:dyDescent="0.2">
      <c r="A34" s="11" t="s">
        <v>22</v>
      </c>
      <c r="B34" s="13">
        <v>0</v>
      </c>
      <c r="C34" s="13">
        <v>1062.1600000000001</v>
      </c>
      <c r="D34" s="13">
        <v>1026.22</v>
      </c>
      <c r="E34" s="14">
        <f t="shared" si="6"/>
        <v>2088.38</v>
      </c>
      <c r="F34" s="14">
        <f t="shared" si="7"/>
        <v>2666.6666666666665</v>
      </c>
      <c r="G34" s="13">
        <v>2873.19</v>
      </c>
      <c r="H34" s="14">
        <f t="shared" si="8"/>
        <v>5333.333333333333</v>
      </c>
      <c r="I34" s="13">
        <v>32000</v>
      </c>
      <c r="J34" s="34">
        <f t="shared" si="9"/>
        <v>8.9787187500000004E-2</v>
      </c>
    </row>
    <row r="35" spans="1:19" x14ac:dyDescent="0.2">
      <c r="A35" s="11" t="s">
        <v>23</v>
      </c>
      <c r="B35" s="13">
        <v>0</v>
      </c>
      <c r="C35" s="13">
        <v>4190.75</v>
      </c>
      <c r="D35" s="13">
        <v>4190.74</v>
      </c>
      <c r="E35" s="14">
        <f t="shared" si="6"/>
        <v>8381.49</v>
      </c>
      <c r="F35" s="14">
        <f t="shared" si="7"/>
        <v>10833.333333333334</v>
      </c>
      <c r="G35" s="13">
        <v>18249.36</v>
      </c>
      <c r="H35" s="14">
        <f t="shared" si="8"/>
        <v>21666.666666666668</v>
      </c>
      <c r="I35" s="13">
        <v>130000</v>
      </c>
      <c r="J35" s="34">
        <f t="shared" si="9"/>
        <v>0.14037969230769232</v>
      </c>
    </row>
    <row r="36" spans="1:19" x14ac:dyDescent="0.2">
      <c r="A36" s="11" t="s">
        <v>24</v>
      </c>
      <c r="B36" s="13">
        <v>0</v>
      </c>
      <c r="C36" s="13">
        <v>0</v>
      </c>
      <c r="D36" s="13">
        <v>0</v>
      </c>
      <c r="E36" s="14">
        <f t="shared" si="6"/>
        <v>0</v>
      </c>
      <c r="F36" s="14">
        <f t="shared" si="7"/>
        <v>1666.6666666666667</v>
      </c>
      <c r="G36" s="13">
        <v>193.13</v>
      </c>
      <c r="H36" s="14">
        <f t="shared" si="8"/>
        <v>3333.3333333333335</v>
      </c>
      <c r="I36" s="13">
        <v>20000</v>
      </c>
      <c r="J36" s="34">
        <f t="shared" si="9"/>
        <v>9.6565000000000002E-3</v>
      </c>
    </row>
    <row r="37" spans="1:19" x14ac:dyDescent="0.2">
      <c r="A37" s="11" t="s">
        <v>25</v>
      </c>
      <c r="B37" s="13">
        <v>0</v>
      </c>
      <c r="C37" s="13">
        <v>0</v>
      </c>
      <c r="D37" s="13">
        <v>0</v>
      </c>
      <c r="E37" s="14">
        <f t="shared" si="6"/>
        <v>0</v>
      </c>
      <c r="F37" s="14">
        <f t="shared" si="7"/>
        <v>250</v>
      </c>
      <c r="G37" s="13">
        <f t="shared" si="10"/>
        <v>0</v>
      </c>
      <c r="H37" s="14">
        <f t="shared" si="8"/>
        <v>500</v>
      </c>
      <c r="I37" s="13">
        <f>1500+1500</f>
        <v>3000</v>
      </c>
      <c r="J37" s="34">
        <f t="shared" si="9"/>
        <v>0</v>
      </c>
    </row>
    <row r="38" spans="1:19" x14ac:dyDescent="0.2">
      <c r="A38" s="11" t="s">
        <v>26</v>
      </c>
      <c r="B38" s="13">
        <v>0</v>
      </c>
      <c r="C38" s="13">
        <v>0</v>
      </c>
      <c r="D38" s="13">
        <v>0</v>
      </c>
      <c r="E38" s="14">
        <f t="shared" si="6"/>
        <v>0</v>
      </c>
      <c r="F38" s="14">
        <f t="shared" si="7"/>
        <v>30833.333333333332</v>
      </c>
      <c r="G38" s="13">
        <v>8425</v>
      </c>
      <c r="H38" s="14">
        <f t="shared" si="8"/>
        <v>61666.666666666664</v>
      </c>
      <c r="I38" s="13">
        <v>370000</v>
      </c>
      <c r="J38" s="34">
        <f t="shared" si="9"/>
        <v>2.277027027027027E-2</v>
      </c>
    </row>
    <row r="39" spans="1:19" x14ac:dyDescent="0.2">
      <c r="A39" s="11"/>
      <c r="B39" s="14"/>
      <c r="C39" s="13"/>
      <c r="D39" s="13"/>
      <c r="E39" s="14"/>
      <c r="F39" s="14"/>
      <c r="G39" s="14"/>
      <c r="H39" s="14"/>
      <c r="I39" s="13"/>
    </row>
    <row r="40" spans="1:19" x14ac:dyDescent="0.2">
      <c r="A40" s="11"/>
      <c r="B40" s="2"/>
      <c r="C40" s="6"/>
      <c r="D40" s="6"/>
      <c r="E40" s="2"/>
      <c r="F40" s="2"/>
      <c r="G40" s="2"/>
      <c r="H40" s="2"/>
      <c r="I40" s="6"/>
    </row>
    <row r="41" spans="1:19" x14ac:dyDescent="0.2">
      <c r="A41" s="11"/>
      <c r="B41" s="1"/>
      <c r="C41" s="7"/>
      <c r="D41" s="8"/>
      <c r="E41" s="1"/>
      <c r="F41" s="1"/>
      <c r="G41" s="1"/>
      <c r="H41" s="1"/>
      <c r="I41" s="8"/>
      <c r="K41" s="1"/>
      <c r="L41" s="1"/>
      <c r="N41" s="1"/>
      <c r="O41" s="1"/>
      <c r="P41" s="1"/>
      <c r="Q41" s="1"/>
      <c r="R41" s="1"/>
      <c r="S41" s="1"/>
    </row>
    <row r="42" spans="1:19" x14ac:dyDescent="0.2">
      <c r="A42" s="11"/>
      <c r="B42" s="2"/>
      <c r="C42" s="6"/>
      <c r="D42" s="6"/>
      <c r="E42" s="2"/>
      <c r="F42" s="2"/>
      <c r="G42" s="2"/>
      <c r="H42" s="2"/>
      <c r="I42" s="6"/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1" t="s">
        <v>60</v>
      </c>
      <c r="F43" s="1" t="s">
        <v>61</v>
      </c>
      <c r="G43" s="1" t="s">
        <v>62</v>
      </c>
      <c r="H43" s="1" t="s">
        <v>62</v>
      </c>
      <c r="I43" s="8" t="s">
        <v>63</v>
      </c>
      <c r="J43" s="16">
        <f>+J6</f>
        <v>0.1666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/>
      <c r="B44" s="1"/>
      <c r="C44" s="7"/>
      <c r="D44" s="8"/>
      <c r="E44" s="1" t="s">
        <v>68</v>
      </c>
      <c r="F44" s="1" t="s">
        <v>65</v>
      </c>
      <c r="G44" s="1" t="s">
        <v>68</v>
      </c>
      <c r="H44" s="1" t="s">
        <v>67</v>
      </c>
      <c r="I44" s="8" t="s">
        <v>67</v>
      </c>
      <c r="J44" s="17" t="s">
        <v>65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/>
      <c r="B45" s="1"/>
      <c r="C45" s="7"/>
      <c r="D45" s="8"/>
      <c r="E45" s="1"/>
      <c r="F45" s="1"/>
      <c r="G45" s="1"/>
      <c r="H45" s="1"/>
      <c r="I45" s="8"/>
      <c r="J45" s="17" t="s">
        <v>75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27</v>
      </c>
      <c r="B46" s="6">
        <v>4818.6499999999996</v>
      </c>
      <c r="C46" s="6">
        <v>7923.33</v>
      </c>
      <c r="D46" s="6">
        <v>4377.84</v>
      </c>
      <c r="E46" s="2">
        <f t="shared" ref="E46:E72" si="11">B46+C46+D46</f>
        <v>17119.82</v>
      </c>
      <c r="F46" s="2">
        <f t="shared" ref="F46:F48" si="12">I46/12</f>
        <v>16500</v>
      </c>
      <c r="G46" s="6">
        <v>34254.720000000001</v>
      </c>
      <c r="H46" s="14">
        <f t="shared" ref="H46:H72" si="13">F46*2</f>
        <v>33000</v>
      </c>
      <c r="I46" s="6">
        <v>198000</v>
      </c>
      <c r="J46" s="34">
        <f t="shared" ref="J46:J73" si="14">+G46/I46</f>
        <v>0.17300363636363636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28</v>
      </c>
      <c r="B47" s="13">
        <v>0</v>
      </c>
      <c r="C47" s="13">
        <v>0</v>
      </c>
      <c r="D47" s="13">
        <v>0</v>
      </c>
      <c r="E47" s="14">
        <f t="shared" si="11"/>
        <v>0</v>
      </c>
      <c r="F47" s="14">
        <f t="shared" si="12"/>
        <v>25520.833333333332</v>
      </c>
      <c r="G47" s="13">
        <v>290231</v>
      </c>
      <c r="H47" s="14">
        <f t="shared" si="13"/>
        <v>51041.666666666664</v>
      </c>
      <c r="I47" s="13">
        <v>306250</v>
      </c>
      <c r="J47" s="34">
        <f t="shared" si="14"/>
        <v>0.94769306122448982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29</v>
      </c>
      <c r="B48" s="13">
        <v>0</v>
      </c>
      <c r="C48" s="13">
        <v>0</v>
      </c>
      <c r="D48" s="13">
        <v>0</v>
      </c>
      <c r="E48" s="14">
        <f t="shared" si="11"/>
        <v>0</v>
      </c>
      <c r="F48" s="14">
        <f t="shared" si="12"/>
        <v>416.66666666666669</v>
      </c>
      <c r="G48" s="13">
        <v>248</v>
      </c>
      <c r="H48" s="14">
        <f t="shared" si="13"/>
        <v>833.33333333333337</v>
      </c>
      <c r="I48" s="13">
        <f>2500+2500</f>
        <v>5000</v>
      </c>
      <c r="J48" s="34">
        <f t="shared" si="14"/>
        <v>4.9599999999999998E-2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30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>I49/12</f>
        <v>1333.3333333333333</v>
      </c>
      <c r="G49" s="13">
        <v>585.74</v>
      </c>
      <c r="H49" s="14">
        <f t="shared" si="13"/>
        <v>2666.6666666666665</v>
      </c>
      <c r="I49" s="13">
        <f>8000+8000</f>
        <v>16000</v>
      </c>
      <c r="J49" s="34">
        <f t="shared" si="14"/>
        <v>3.6608750000000002E-2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32</v>
      </c>
      <c r="B50" s="13">
        <v>0</v>
      </c>
      <c r="C50" s="13">
        <v>0</v>
      </c>
      <c r="D50" s="13">
        <v>0</v>
      </c>
      <c r="E50" s="14">
        <f t="shared" si="11"/>
        <v>0</v>
      </c>
      <c r="F50" s="14">
        <f t="shared" ref="F50:F72" si="15">I50/12</f>
        <v>6500</v>
      </c>
      <c r="G50" s="13">
        <v>0</v>
      </c>
      <c r="H50" s="14">
        <f t="shared" si="13"/>
        <v>13000</v>
      </c>
      <c r="I50" s="13">
        <v>78000</v>
      </c>
      <c r="J50" s="34">
        <f t="shared" si="14"/>
        <v>0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33</v>
      </c>
      <c r="B51" s="13">
        <v>0</v>
      </c>
      <c r="C51" s="13">
        <v>0</v>
      </c>
      <c r="D51" s="13">
        <v>0</v>
      </c>
      <c r="E51" s="14">
        <f t="shared" si="11"/>
        <v>0</v>
      </c>
      <c r="F51" s="14">
        <f t="shared" si="15"/>
        <v>750</v>
      </c>
      <c r="G51" s="13">
        <f t="shared" ref="G51:G72" si="16">E51</f>
        <v>0</v>
      </c>
      <c r="H51" s="14">
        <f t="shared" si="13"/>
        <v>1500</v>
      </c>
      <c r="I51" s="13">
        <v>9000</v>
      </c>
      <c r="J51" s="34">
        <f t="shared" si="14"/>
        <v>0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34</v>
      </c>
      <c r="B52" s="13">
        <v>0</v>
      </c>
      <c r="C52" s="13">
        <v>403.5</v>
      </c>
      <c r="D52" s="13">
        <v>515.98</v>
      </c>
      <c r="E52" s="14">
        <f t="shared" si="11"/>
        <v>919.48</v>
      </c>
      <c r="F52" s="14">
        <f t="shared" si="15"/>
        <v>1250</v>
      </c>
      <c r="G52" s="13">
        <v>2453.88</v>
      </c>
      <c r="H52" s="14">
        <f t="shared" si="13"/>
        <v>2500</v>
      </c>
      <c r="I52" s="13">
        <v>15000</v>
      </c>
      <c r="J52" s="34">
        <f t="shared" si="14"/>
        <v>0.16359200000000002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35</v>
      </c>
      <c r="B53" s="13">
        <v>0</v>
      </c>
      <c r="C53" s="13">
        <v>1085.72</v>
      </c>
      <c r="D53" s="13">
        <v>1327.96</v>
      </c>
      <c r="E53" s="14">
        <f t="shared" si="11"/>
        <v>2413.6800000000003</v>
      </c>
      <c r="F53" s="14">
        <f t="shared" si="15"/>
        <v>13750</v>
      </c>
      <c r="G53" s="13">
        <v>17926.63</v>
      </c>
      <c r="H53" s="14">
        <f t="shared" si="13"/>
        <v>27500</v>
      </c>
      <c r="I53" s="13">
        <v>165000</v>
      </c>
      <c r="J53" s="34">
        <f t="shared" si="14"/>
        <v>0.10864624242424244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36</v>
      </c>
      <c r="B54" s="13">
        <v>0</v>
      </c>
      <c r="C54" s="13">
        <v>75635.289999999994</v>
      </c>
      <c r="D54" s="13">
        <v>0</v>
      </c>
      <c r="E54" s="14">
        <f t="shared" si="11"/>
        <v>75635.289999999994</v>
      </c>
      <c r="F54" s="14">
        <f t="shared" si="15"/>
        <v>91666.666666666672</v>
      </c>
      <c r="G54" s="13">
        <v>155668.01999999999</v>
      </c>
      <c r="H54" s="14">
        <f t="shared" si="13"/>
        <v>183333.33333333334</v>
      </c>
      <c r="I54" s="13">
        <v>1100000</v>
      </c>
      <c r="J54" s="34">
        <f t="shared" si="14"/>
        <v>0.1415163818181818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37</v>
      </c>
      <c r="B55" s="13">
        <v>0</v>
      </c>
      <c r="C55" s="13">
        <v>0</v>
      </c>
      <c r="D55" s="13">
        <v>0</v>
      </c>
      <c r="E55" s="14">
        <f t="shared" si="11"/>
        <v>0</v>
      </c>
      <c r="F55" s="14">
        <f t="shared" si="15"/>
        <v>875</v>
      </c>
      <c r="G55" s="13">
        <f t="shared" si="16"/>
        <v>0</v>
      </c>
      <c r="H55" s="14">
        <f t="shared" si="13"/>
        <v>1750</v>
      </c>
      <c r="I55" s="13">
        <v>10500</v>
      </c>
      <c r="J55" s="34">
        <f t="shared" si="14"/>
        <v>0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38</v>
      </c>
      <c r="B56" s="13">
        <v>0</v>
      </c>
      <c r="C56" s="13">
        <v>5110</v>
      </c>
      <c r="D56" s="13">
        <v>0</v>
      </c>
      <c r="E56" s="14">
        <f t="shared" si="11"/>
        <v>5110</v>
      </c>
      <c r="F56" s="14">
        <f t="shared" si="15"/>
        <v>3333.3333333333335</v>
      </c>
      <c r="G56" s="13">
        <v>10059</v>
      </c>
      <c r="H56" s="14">
        <f t="shared" si="13"/>
        <v>6666.666666666667</v>
      </c>
      <c r="I56" s="13">
        <v>40000</v>
      </c>
      <c r="J56" s="34">
        <f t="shared" si="14"/>
        <v>0.251475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39</v>
      </c>
      <c r="B57" s="13">
        <v>0</v>
      </c>
      <c r="C57" s="13">
        <v>245.7</v>
      </c>
      <c r="D57" s="13">
        <v>0</v>
      </c>
      <c r="E57" s="14">
        <f t="shared" si="11"/>
        <v>245.7</v>
      </c>
      <c r="F57" s="14">
        <f t="shared" si="15"/>
        <v>625</v>
      </c>
      <c r="G57" s="13">
        <v>270.27999999999997</v>
      </c>
      <c r="H57" s="14">
        <f t="shared" si="13"/>
        <v>1250</v>
      </c>
      <c r="I57" s="13">
        <v>7500</v>
      </c>
      <c r="J57" s="34">
        <f t="shared" si="14"/>
        <v>3.6037333333333331E-2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40</v>
      </c>
      <c r="B58" s="13">
        <v>0</v>
      </c>
      <c r="C58" s="13">
        <v>0</v>
      </c>
      <c r="D58" s="13">
        <v>0</v>
      </c>
      <c r="E58" s="14">
        <f t="shared" si="11"/>
        <v>0</v>
      </c>
      <c r="F58" s="14">
        <f t="shared" si="15"/>
        <v>875</v>
      </c>
      <c r="G58" s="13">
        <v>1194.5</v>
      </c>
      <c r="H58" s="14">
        <f t="shared" si="13"/>
        <v>1750</v>
      </c>
      <c r="I58" s="13">
        <v>10500</v>
      </c>
      <c r="J58" s="34">
        <f t="shared" si="14"/>
        <v>0.11376190476190476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41</v>
      </c>
      <c r="B59" s="13">
        <v>3081.14</v>
      </c>
      <c r="C59" s="13">
        <v>2480.41</v>
      </c>
      <c r="D59" s="13">
        <v>44.82</v>
      </c>
      <c r="E59" s="14">
        <f t="shared" si="11"/>
        <v>5606.369999999999</v>
      </c>
      <c r="F59" s="14">
        <f t="shared" si="15"/>
        <v>2500</v>
      </c>
      <c r="G59" s="13">
        <v>8928.59</v>
      </c>
      <c r="H59" s="14">
        <f t="shared" si="13"/>
        <v>5000</v>
      </c>
      <c r="I59" s="13">
        <v>30000</v>
      </c>
      <c r="J59" s="34">
        <f t="shared" si="14"/>
        <v>0.29761966666666667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42</v>
      </c>
      <c r="B60" s="13">
        <v>0</v>
      </c>
      <c r="C60" s="13">
        <v>11893.71</v>
      </c>
      <c r="D60" s="13">
        <v>0</v>
      </c>
      <c r="E60" s="14">
        <f t="shared" si="11"/>
        <v>11893.71</v>
      </c>
      <c r="F60" s="14">
        <f t="shared" si="15"/>
        <v>13333.333333333334</v>
      </c>
      <c r="G60" s="13">
        <f t="shared" si="16"/>
        <v>11893.71</v>
      </c>
      <c r="H60" s="14">
        <f t="shared" si="13"/>
        <v>26666.666666666668</v>
      </c>
      <c r="I60" s="13">
        <v>160000</v>
      </c>
      <c r="J60" s="34">
        <f t="shared" si="14"/>
        <v>7.4335687499999997E-2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43</v>
      </c>
      <c r="B61" s="13">
        <v>0</v>
      </c>
      <c r="C61" s="13">
        <v>5738.18</v>
      </c>
      <c r="D61" s="13">
        <v>0</v>
      </c>
      <c r="E61" s="14">
        <f t="shared" si="11"/>
        <v>5738.18</v>
      </c>
      <c r="F61" s="14">
        <f t="shared" si="15"/>
        <v>3333.3333333333335</v>
      </c>
      <c r="G61" s="13">
        <v>9210.92</v>
      </c>
      <c r="H61" s="14">
        <f t="shared" si="13"/>
        <v>6666.666666666667</v>
      </c>
      <c r="I61" s="13">
        <v>40000</v>
      </c>
      <c r="J61" s="34">
        <f t="shared" si="14"/>
        <v>0.23027300000000001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44</v>
      </c>
      <c r="B62" s="13">
        <v>0</v>
      </c>
      <c r="C62" s="13">
        <v>0</v>
      </c>
      <c r="D62" s="13">
        <v>0</v>
      </c>
      <c r="E62" s="14">
        <f t="shared" si="11"/>
        <v>0</v>
      </c>
      <c r="F62" s="14">
        <f t="shared" si="15"/>
        <v>1583.3333333333333</v>
      </c>
      <c r="G62" s="13">
        <v>22802</v>
      </c>
      <c r="H62" s="14">
        <f t="shared" si="13"/>
        <v>3166.6666666666665</v>
      </c>
      <c r="I62" s="13">
        <v>19000</v>
      </c>
      <c r="J62" s="34">
        <f t="shared" si="14"/>
        <v>1.2001052631578948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45</v>
      </c>
      <c r="B63" s="13">
        <v>0</v>
      </c>
      <c r="C63" s="13">
        <v>1808.38</v>
      </c>
      <c r="D63" s="13">
        <v>0</v>
      </c>
      <c r="E63" s="14">
        <f t="shared" si="11"/>
        <v>1808.38</v>
      </c>
      <c r="F63" s="14">
        <f t="shared" si="15"/>
        <v>1416.6666666666667</v>
      </c>
      <c r="G63" s="13">
        <v>3378.48</v>
      </c>
      <c r="H63" s="14">
        <f t="shared" si="13"/>
        <v>2833.3333333333335</v>
      </c>
      <c r="I63" s="13">
        <v>17000</v>
      </c>
      <c r="J63" s="34">
        <f t="shared" si="14"/>
        <v>0.19873411764705881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46</v>
      </c>
      <c r="B64" s="13">
        <v>0</v>
      </c>
      <c r="C64" s="13">
        <v>0</v>
      </c>
      <c r="D64" s="13">
        <v>0</v>
      </c>
      <c r="E64" s="14">
        <f t="shared" si="11"/>
        <v>0</v>
      </c>
      <c r="F64" s="14">
        <f t="shared" si="15"/>
        <v>1666.6666666666667</v>
      </c>
      <c r="G64" s="13">
        <f t="shared" si="16"/>
        <v>0</v>
      </c>
      <c r="H64" s="14">
        <f t="shared" si="13"/>
        <v>3333.3333333333335</v>
      </c>
      <c r="I64" s="13">
        <v>20000</v>
      </c>
      <c r="J64" s="34">
        <f t="shared" si="14"/>
        <v>0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47</v>
      </c>
      <c r="B65" s="13">
        <v>11540.39</v>
      </c>
      <c r="C65" s="13">
        <v>0</v>
      </c>
      <c r="D65" s="13">
        <v>0</v>
      </c>
      <c r="E65" s="14">
        <f t="shared" si="11"/>
        <v>11540.39</v>
      </c>
      <c r="F65" s="14">
        <f t="shared" si="15"/>
        <v>12541.666666666666</v>
      </c>
      <c r="G65" s="13">
        <v>22780.75</v>
      </c>
      <c r="H65" s="14">
        <f t="shared" si="13"/>
        <v>25083.333333333332</v>
      </c>
      <c r="I65" s="13">
        <v>150500</v>
      </c>
      <c r="J65" s="34">
        <f t="shared" si="14"/>
        <v>0.15136710963455149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48</v>
      </c>
      <c r="B66" s="13">
        <v>0</v>
      </c>
      <c r="C66" s="13">
        <v>0</v>
      </c>
      <c r="D66" s="13">
        <v>0</v>
      </c>
      <c r="E66" s="14">
        <f t="shared" si="11"/>
        <v>0</v>
      </c>
      <c r="F66" s="14">
        <f t="shared" si="15"/>
        <v>83.333333333333329</v>
      </c>
      <c r="G66" s="13">
        <f t="shared" si="16"/>
        <v>0</v>
      </c>
      <c r="H66" s="14">
        <f t="shared" si="13"/>
        <v>166.66666666666666</v>
      </c>
      <c r="I66" s="13">
        <v>1000</v>
      </c>
      <c r="J66" s="34">
        <f t="shared" si="14"/>
        <v>0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49</v>
      </c>
      <c r="B67" s="13">
        <v>219</v>
      </c>
      <c r="C67" s="13">
        <v>97.25</v>
      </c>
      <c r="D67" s="13">
        <v>26.5</v>
      </c>
      <c r="E67" s="14">
        <f t="shared" si="11"/>
        <v>342.75</v>
      </c>
      <c r="F67" s="14">
        <f t="shared" si="15"/>
        <v>208.33333333333334</v>
      </c>
      <c r="G67" s="13">
        <f t="shared" si="16"/>
        <v>342.75</v>
      </c>
      <c r="H67" s="14">
        <f t="shared" si="13"/>
        <v>416.66666666666669</v>
      </c>
      <c r="I67" s="13">
        <v>2500</v>
      </c>
      <c r="J67" s="34">
        <f t="shared" si="14"/>
        <v>0.1371</v>
      </c>
      <c r="K67" s="1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11" t="s">
        <v>50</v>
      </c>
      <c r="B68" s="13">
        <v>4237.5</v>
      </c>
      <c r="C68" s="13">
        <v>0</v>
      </c>
      <c r="D68" s="13">
        <v>0</v>
      </c>
      <c r="E68" s="14">
        <f t="shared" si="11"/>
        <v>4237.5</v>
      </c>
      <c r="F68" s="14">
        <f t="shared" si="15"/>
        <v>2500</v>
      </c>
      <c r="G68" s="13">
        <f t="shared" si="16"/>
        <v>4237.5</v>
      </c>
      <c r="H68" s="14">
        <f t="shared" si="13"/>
        <v>5000</v>
      </c>
      <c r="I68" s="13">
        <v>30000</v>
      </c>
      <c r="J68" s="34">
        <f t="shared" si="14"/>
        <v>0.14124999999999999</v>
      </c>
      <c r="K68" s="1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11" t="s">
        <v>52</v>
      </c>
      <c r="B69" s="13">
        <v>0</v>
      </c>
      <c r="C69" s="13">
        <v>3786.86</v>
      </c>
      <c r="D69" s="13">
        <v>0</v>
      </c>
      <c r="E69" s="14">
        <f t="shared" si="11"/>
        <v>3786.86</v>
      </c>
      <c r="F69" s="14">
        <f t="shared" si="15"/>
        <v>4000</v>
      </c>
      <c r="G69" s="13">
        <v>7198.27</v>
      </c>
      <c r="H69" s="14">
        <f t="shared" si="13"/>
        <v>8000</v>
      </c>
      <c r="I69" s="13">
        <v>48000</v>
      </c>
      <c r="J69" s="34">
        <f t="shared" si="14"/>
        <v>0.14996395833333334</v>
      </c>
      <c r="K69" s="1"/>
      <c r="L69" s="2"/>
      <c r="M69" s="2"/>
      <c r="N69" s="2"/>
      <c r="O69" s="3"/>
      <c r="Q69" s="3"/>
    </row>
    <row r="70" spans="1:19" x14ac:dyDescent="0.2">
      <c r="A70" s="11" t="s">
        <v>53</v>
      </c>
      <c r="B70" s="13">
        <v>0</v>
      </c>
      <c r="C70" s="13">
        <v>812</v>
      </c>
      <c r="D70" s="13">
        <v>0</v>
      </c>
      <c r="E70" s="14">
        <f t="shared" si="11"/>
        <v>812</v>
      </c>
      <c r="F70" s="14">
        <f t="shared" si="15"/>
        <v>833.33333333333337</v>
      </c>
      <c r="G70" s="13">
        <v>1093.23</v>
      </c>
      <c r="H70" s="14">
        <f t="shared" si="13"/>
        <v>1666.6666666666667</v>
      </c>
      <c r="I70" s="13">
        <v>10000</v>
      </c>
      <c r="J70" s="34">
        <f t="shared" si="14"/>
        <v>0.109323</v>
      </c>
    </row>
    <row r="71" spans="1:19" x14ac:dyDescent="0.2">
      <c r="A71" s="11" t="s">
        <v>54</v>
      </c>
      <c r="B71" s="13">
        <v>0</v>
      </c>
      <c r="C71" s="13">
        <v>0</v>
      </c>
      <c r="D71" s="13">
        <v>0</v>
      </c>
      <c r="E71" s="14">
        <f t="shared" si="11"/>
        <v>0</v>
      </c>
      <c r="F71" s="14">
        <f t="shared" si="15"/>
        <v>4.166666666666667</v>
      </c>
      <c r="G71" s="13">
        <f t="shared" si="16"/>
        <v>0</v>
      </c>
      <c r="H71" s="14">
        <f t="shared" si="13"/>
        <v>8.3333333333333339</v>
      </c>
      <c r="I71" s="13">
        <v>50</v>
      </c>
      <c r="J71" s="34">
        <f t="shared" si="14"/>
        <v>0</v>
      </c>
    </row>
    <row r="72" spans="1:19" x14ac:dyDescent="0.2">
      <c r="A72" s="11" t="s">
        <v>72</v>
      </c>
      <c r="B72" s="13">
        <v>0</v>
      </c>
      <c r="C72" s="13">
        <v>0</v>
      </c>
      <c r="D72" s="13">
        <v>0</v>
      </c>
      <c r="E72" s="14">
        <f t="shared" si="11"/>
        <v>0</v>
      </c>
      <c r="F72" s="14">
        <f t="shared" si="15"/>
        <v>1666.6666666666667</v>
      </c>
      <c r="G72" s="13">
        <f t="shared" si="16"/>
        <v>0</v>
      </c>
      <c r="H72" s="14">
        <f t="shared" si="13"/>
        <v>3333.3333333333335</v>
      </c>
      <c r="I72" s="13">
        <v>20000</v>
      </c>
      <c r="J72" s="33">
        <f t="shared" si="14"/>
        <v>0</v>
      </c>
    </row>
    <row r="73" spans="1:19" x14ac:dyDescent="0.2">
      <c r="A73" s="11" t="s">
        <v>55</v>
      </c>
      <c r="B73" s="35">
        <f t="shared" ref="B73:H73" si="17">SUM(B26:B72)</f>
        <v>51445.31</v>
      </c>
      <c r="C73" s="35">
        <f t="shared" si="17"/>
        <v>157567.12999999998</v>
      </c>
      <c r="D73" s="36">
        <f t="shared" si="17"/>
        <v>49862.879999999997</v>
      </c>
      <c r="E73" s="35">
        <f t="shared" si="17"/>
        <v>258875.31999999995</v>
      </c>
      <c r="F73" s="35">
        <f t="shared" si="17"/>
        <v>363791.66666666663</v>
      </c>
      <c r="G73" s="35">
        <f t="shared" si="17"/>
        <v>814802.95</v>
      </c>
      <c r="H73" s="35">
        <f t="shared" si="17"/>
        <v>727583.33333333326</v>
      </c>
      <c r="I73" s="36">
        <f>SUM(I46:I72)+SUM(I26:I38)</f>
        <v>4365500</v>
      </c>
      <c r="J73" s="37">
        <f t="shared" si="14"/>
        <v>0.18664596266177985</v>
      </c>
    </row>
    <row r="74" spans="1:19" x14ac:dyDescent="0.2">
      <c r="B74" s="14"/>
      <c r="C74" s="14" t="s">
        <v>69</v>
      </c>
      <c r="D74" s="13"/>
      <c r="E74" s="14"/>
      <c r="F74" s="14"/>
      <c r="G74" s="14"/>
      <c r="H74" s="14"/>
      <c r="I74" s="13"/>
    </row>
    <row r="75" spans="1:19" ht="13.5" thickBot="1" x14ac:dyDescent="0.25">
      <c r="A75" s="11" t="s">
        <v>56</v>
      </c>
      <c r="B75" s="38">
        <f t="shared" ref="B75:G75" si="18">B21-B73</f>
        <v>-51445.31</v>
      </c>
      <c r="C75" s="38">
        <f t="shared" si="18"/>
        <v>41903.290000000008</v>
      </c>
      <c r="D75" s="39">
        <f t="shared" si="18"/>
        <v>143615.18</v>
      </c>
      <c r="E75" s="38">
        <f t="shared" si="18"/>
        <v>134073.16000000003</v>
      </c>
      <c r="F75" s="38">
        <f t="shared" si="18"/>
        <v>0</v>
      </c>
      <c r="G75" s="38">
        <f t="shared" si="18"/>
        <v>-74780.13</v>
      </c>
      <c r="H75" s="10"/>
      <c r="I75" s="12"/>
    </row>
    <row r="76" spans="1:19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3516-7CDA-49B9-8F5D-E8F1E03F5947}">
  <dimension ref="A1:T76"/>
  <sheetViews>
    <sheetView workbookViewId="0">
      <pane xSplit="1" ySplit="7" topLeftCell="B40" activePane="bottomRight" state="frozen"/>
      <selection pane="topRight" activeCell="B1" sqref="B1"/>
      <selection pane="bottomLeft" activeCell="A8" sqref="A8"/>
      <selection pane="bottomRight" activeCell="C58" sqref="C58"/>
    </sheetView>
  </sheetViews>
  <sheetFormatPr defaultRowHeight="12.75" x14ac:dyDescent="0.2"/>
  <cols>
    <col min="1" max="1" width="21.5703125" style="10" customWidth="1"/>
    <col min="2" max="2" width="9.42578125" bestFit="1" customWidth="1"/>
    <col min="3" max="3" width="10.7109375" customWidth="1"/>
    <col min="4" max="4" width="11.140625" style="7" customWidth="1"/>
    <col min="5" max="5" width="9.42578125" style="7" bestFit="1" customWidth="1"/>
    <col min="6" max="6" width="10.7109375" bestFit="1" customWidth="1"/>
    <col min="7" max="7" width="10.5703125" customWidth="1"/>
    <col min="8" max="8" width="10.7109375" bestFit="1" customWidth="1"/>
    <col min="9" max="9" width="10.140625" bestFit="1" customWidth="1"/>
    <col min="10" max="10" width="12" style="7" customWidth="1"/>
    <col min="11" max="11" width="8.42578125" customWidth="1"/>
    <col min="12" max="12" width="11.7109375" bestFit="1" customWidth="1"/>
  </cols>
  <sheetData>
    <row r="1" spans="1:11" ht="15.75" x14ac:dyDescent="0.25">
      <c r="D1" s="31" t="s">
        <v>74</v>
      </c>
      <c r="E1" s="31"/>
    </row>
    <row r="3" spans="1:11" ht="15.75" x14ac:dyDescent="0.25">
      <c r="D3" s="31" t="s">
        <v>85</v>
      </c>
      <c r="E3" s="31"/>
    </row>
    <row r="6" spans="1:11" x14ac:dyDescent="0.2">
      <c r="B6" s="1" t="s">
        <v>57</v>
      </c>
      <c r="C6" t="s">
        <v>58</v>
      </c>
      <c r="D6" s="8" t="s">
        <v>59</v>
      </c>
      <c r="E6" s="41" t="s">
        <v>87</v>
      </c>
      <c r="F6" s="1" t="s">
        <v>60</v>
      </c>
      <c r="G6" s="1" t="s">
        <v>61</v>
      </c>
      <c r="H6" s="1" t="s">
        <v>62</v>
      </c>
      <c r="I6" s="1" t="s">
        <v>62</v>
      </c>
      <c r="J6" s="8" t="s">
        <v>63</v>
      </c>
      <c r="K6" s="16">
        <v>0.1666</v>
      </c>
    </row>
    <row r="7" spans="1:11" x14ac:dyDescent="0.2">
      <c r="B7" s="1"/>
      <c r="D7" s="8"/>
      <c r="E7" s="41" t="s">
        <v>88</v>
      </c>
      <c r="F7" s="1" t="s">
        <v>64</v>
      </c>
      <c r="G7" s="1" t="s">
        <v>65</v>
      </c>
      <c r="H7" s="1" t="s">
        <v>66</v>
      </c>
      <c r="I7" s="1" t="s">
        <v>67</v>
      </c>
      <c r="J7" s="8" t="s">
        <v>67</v>
      </c>
      <c r="K7" s="17" t="s">
        <v>65</v>
      </c>
    </row>
    <row r="8" spans="1:11" x14ac:dyDescent="0.2">
      <c r="A8" s="11" t="s">
        <v>0</v>
      </c>
      <c r="K8" s="17" t="s">
        <v>75</v>
      </c>
    </row>
    <row r="9" spans="1:11" x14ac:dyDescent="0.2">
      <c r="A9" s="11" t="s">
        <v>1</v>
      </c>
      <c r="B9" s="13">
        <v>0</v>
      </c>
      <c r="C9" s="13">
        <v>0</v>
      </c>
      <c r="D9" s="13">
        <v>139514.84</v>
      </c>
      <c r="E9" s="13">
        <v>0</v>
      </c>
      <c r="F9" s="14">
        <f>SUM(B9:E9)</f>
        <v>139514.84</v>
      </c>
      <c r="G9" s="14">
        <f>J9/12</f>
        <v>148333.33333333334</v>
      </c>
      <c r="H9" s="13">
        <v>283716.11</v>
      </c>
      <c r="I9" s="14">
        <f>G9*2</f>
        <v>296666.66666666669</v>
      </c>
      <c r="J9" s="13">
        <v>1780000</v>
      </c>
      <c r="K9" s="32">
        <f>+H9/J9</f>
        <v>0.15939107303370786</v>
      </c>
    </row>
    <row r="10" spans="1:11" x14ac:dyDescent="0.2">
      <c r="A10" s="11" t="s">
        <v>2</v>
      </c>
      <c r="B10" s="13">
        <v>0</v>
      </c>
      <c r="C10" s="13">
        <v>794.22</v>
      </c>
      <c r="D10" s="13">
        <v>5707.72</v>
      </c>
      <c r="E10" s="13">
        <v>0</v>
      </c>
      <c r="F10" s="14">
        <f t="shared" ref="F10:F20" si="0">SUM(B10:E10)</f>
        <v>6501.9400000000005</v>
      </c>
      <c r="G10" s="14">
        <f t="shared" ref="G10:G20" si="1">J10/12</f>
        <v>6083.333333333333</v>
      </c>
      <c r="H10" s="13">
        <v>13161.72</v>
      </c>
      <c r="I10" s="14">
        <f t="shared" ref="I10:I20" si="2">G10*2</f>
        <v>12166.666666666666</v>
      </c>
      <c r="J10" s="13">
        <v>73000</v>
      </c>
      <c r="K10" s="32">
        <f t="shared" ref="K10:K21" si="3">+H10/J10</f>
        <v>0.18029753424657533</v>
      </c>
    </row>
    <row r="11" spans="1:11" x14ac:dyDescent="0.2">
      <c r="A11" s="11" t="s">
        <v>71</v>
      </c>
      <c r="B11" s="13">
        <v>0</v>
      </c>
      <c r="C11" s="13">
        <v>0</v>
      </c>
      <c r="D11" s="13">
        <v>0</v>
      </c>
      <c r="E11" s="13">
        <v>0</v>
      </c>
      <c r="F11" s="14">
        <f t="shared" si="0"/>
        <v>0</v>
      </c>
      <c r="G11" s="14">
        <f t="shared" si="1"/>
        <v>1250</v>
      </c>
      <c r="H11" s="13">
        <f t="shared" ref="H11" si="4">F11</f>
        <v>0</v>
      </c>
      <c r="I11" s="14">
        <f t="shared" si="2"/>
        <v>2500</v>
      </c>
      <c r="J11" s="13">
        <v>15000</v>
      </c>
      <c r="K11" s="32">
        <f t="shared" si="3"/>
        <v>0</v>
      </c>
    </row>
    <row r="12" spans="1:11" x14ac:dyDescent="0.2">
      <c r="A12" s="11" t="s">
        <v>3</v>
      </c>
      <c r="B12" s="13">
        <v>0</v>
      </c>
      <c r="C12" s="13">
        <v>0</v>
      </c>
      <c r="D12" s="13">
        <f>1942.49+1214.37</f>
        <v>3156.8599999999997</v>
      </c>
      <c r="E12" s="13">
        <v>0</v>
      </c>
      <c r="F12" s="14">
        <f t="shared" si="0"/>
        <v>3156.8599999999997</v>
      </c>
      <c r="G12" s="14">
        <f t="shared" si="1"/>
        <v>3333.3333333333335</v>
      </c>
      <c r="H12" s="13">
        <f>3825.08+1712.53</f>
        <v>5537.61</v>
      </c>
      <c r="I12" s="14">
        <f t="shared" si="2"/>
        <v>6666.666666666667</v>
      </c>
      <c r="J12" s="13">
        <v>40000</v>
      </c>
      <c r="K12" s="32">
        <f t="shared" si="3"/>
        <v>0.13844024999999999</v>
      </c>
    </row>
    <row r="13" spans="1:11" x14ac:dyDescent="0.2">
      <c r="A13" s="11" t="s">
        <v>4</v>
      </c>
      <c r="B13" s="13">
        <v>0</v>
      </c>
      <c r="C13" s="13">
        <v>0</v>
      </c>
      <c r="D13" s="13">
        <v>45098.64</v>
      </c>
      <c r="E13" s="13">
        <v>0</v>
      </c>
      <c r="F13" s="14">
        <f t="shared" si="0"/>
        <v>45098.64</v>
      </c>
      <c r="G13" s="14">
        <f t="shared" si="1"/>
        <v>8333.3333333333339</v>
      </c>
      <c r="H13" s="13">
        <v>45285.279999999999</v>
      </c>
      <c r="I13" s="14">
        <f t="shared" si="2"/>
        <v>16666.666666666668</v>
      </c>
      <c r="J13" s="13">
        <v>100000</v>
      </c>
      <c r="K13" s="32">
        <f t="shared" si="3"/>
        <v>0.4528528</v>
      </c>
    </row>
    <row r="14" spans="1:11" x14ac:dyDescent="0.2">
      <c r="A14" s="11" t="s">
        <v>5</v>
      </c>
      <c r="B14" s="13">
        <v>0</v>
      </c>
      <c r="C14" s="13">
        <v>109198.47</v>
      </c>
      <c r="D14" s="13">
        <v>0</v>
      </c>
      <c r="E14" s="13">
        <v>0</v>
      </c>
      <c r="F14" s="14">
        <f t="shared" si="0"/>
        <v>109198.47</v>
      </c>
      <c r="G14" s="14">
        <f t="shared" si="1"/>
        <v>121666.66666666667</v>
      </c>
      <c r="H14" s="13">
        <v>219383.02</v>
      </c>
      <c r="I14" s="14">
        <f t="shared" si="2"/>
        <v>243333.33333333334</v>
      </c>
      <c r="J14" s="13">
        <v>1460000</v>
      </c>
      <c r="K14" s="32">
        <f t="shared" si="3"/>
        <v>0.15026234246575343</v>
      </c>
    </row>
    <row r="15" spans="1:11" x14ac:dyDescent="0.2">
      <c r="A15" s="11" t="s">
        <v>6</v>
      </c>
      <c r="B15" s="13">
        <v>0</v>
      </c>
      <c r="C15" s="13">
        <v>901.32</v>
      </c>
      <c r="D15" s="13">
        <v>0</v>
      </c>
      <c r="E15" s="13">
        <v>0</v>
      </c>
      <c r="F15" s="14">
        <f t="shared" si="0"/>
        <v>901.32</v>
      </c>
      <c r="G15" s="14">
        <f t="shared" si="1"/>
        <v>916.66666666666663</v>
      </c>
      <c r="H15" s="13">
        <v>1338.3</v>
      </c>
      <c r="I15" s="14">
        <f t="shared" si="2"/>
        <v>1833.3333333333333</v>
      </c>
      <c r="J15" s="13">
        <v>11000</v>
      </c>
      <c r="K15" s="32">
        <f t="shared" si="3"/>
        <v>0.12166363636363636</v>
      </c>
    </row>
    <row r="16" spans="1:11" x14ac:dyDescent="0.2">
      <c r="A16" s="11" t="s">
        <v>7</v>
      </c>
      <c r="B16" s="13">
        <v>0</v>
      </c>
      <c r="C16" s="13">
        <v>0</v>
      </c>
      <c r="D16" s="13">
        <v>0</v>
      </c>
      <c r="E16" s="13">
        <v>30155.77</v>
      </c>
      <c r="F16" s="14">
        <f t="shared" si="0"/>
        <v>30155.77</v>
      </c>
      <c r="G16" s="14">
        <f t="shared" si="1"/>
        <v>15833.333333333334</v>
      </c>
      <c r="H16" s="13">
        <v>49573.94</v>
      </c>
      <c r="I16" s="14">
        <f t="shared" si="2"/>
        <v>31666.666666666668</v>
      </c>
      <c r="J16" s="13">
        <v>190000</v>
      </c>
      <c r="K16" s="32">
        <f t="shared" si="3"/>
        <v>0.26091547368421053</v>
      </c>
    </row>
    <row r="17" spans="1:12" x14ac:dyDescent="0.2">
      <c r="A17" s="11" t="s">
        <v>8</v>
      </c>
      <c r="B17" s="13">
        <v>0</v>
      </c>
      <c r="C17" s="13">
        <v>339.55</v>
      </c>
      <c r="D17" s="13">
        <v>0</v>
      </c>
      <c r="E17" s="13">
        <v>0</v>
      </c>
      <c r="F17" s="14">
        <f t="shared" si="0"/>
        <v>339.55</v>
      </c>
      <c r="G17" s="14">
        <f t="shared" si="1"/>
        <v>625</v>
      </c>
      <c r="H17" s="13">
        <v>564.54999999999995</v>
      </c>
      <c r="I17" s="14">
        <f t="shared" si="2"/>
        <v>1250</v>
      </c>
      <c r="J17" s="13">
        <v>7500</v>
      </c>
      <c r="K17" s="32">
        <f t="shared" si="3"/>
        <v>7.5273333333333331E-2</v>
      </c>
    </row>
    <row r="18" spans="1:12" x14ac:dyDescent="0.2">
      <c r="A18" s="11" t="s">
        <v>9</v>
      </c>
      <c r="B18" s="13">
        <v>0</v>
      </c>
      <c r="C18" s="13">
        <v>2909.11</v>
      </c>
      <c r="D18" s="13">
        <v>0</v>
      </c>
      <c r="E18" s="13">
        <v>0</v>
      </c>
      <c r="F18" s="14">
        <f t="shared" si="0"/>
        <v>2909.11</v>
      </c>
      <c r="G18" s="14">
        <f t="shared" si="1"/>
        <v>4166.666666666667</v>
      </c>
      <c r="H18" s="13">
        <v>4708.09</v>
      </c>
      <c r="I18" s="14">
        <f t="shared" si="2"/>
        <v>8333.3333333333339</v>
      </c>
      <c r="J18" s="13">
        <v>50000</v>
      </c>
      <c r="K18" s="32">
        <f t="shared" si="3"/>
        <v>9.4161800000000004E-2</v>
      </c>
    </row>
    <row r="19" spans="1:12" x14ac:dyDescent="0.2">
      <c r="A19" s="11" t="s">
        <v>10</v>
      </c>
      <c r="B19" s="13">
        <v>0</v>
      </c>
      <c r="C19" s="13">
        <v>47046.98</v>
      </c>
      <c r="D19" s="13">
        <v>0</v>
      </c>
      <c r="E19" s="13">
        <v>0</v>
      </c>
      <c r="F19" s="14">
        <f t="shared" si="0"/>
        <v>47046.98</v>
      </c>
      <c r="G19" s="14">
        <f t="shared" si="1"/>
        <v>48666.666666666664</v>
      </c>
      <c r="H19" s="13">
        <v>100831.21</v>
      </c>
      <c r="I19" s="14">
        <f t="shared" si="2"/>
        <v>97333.333333333328</v>
      </c>
      <c r="J19" s="13">
        <v>584000</v>
      </c>
      <c r="K19" s="32">
        <f t="shared" si="3"/>
        <v>0.17265618150684933</v>
      </c>
    </row>
    <row r="20" spans="1:12" x14ac:dyDescent="0.2">
      <c r="A20" s="11" t="s">
        <v>11</v>
      </c>
      <c r="B20" s="13">
        <v>0</v>
      </c>
      <c r="C20" s="13">
        <v>0</v>
      </c>
      <c r="D20" s="13">
        <v>0</v>
      </c>
      <c r="E20" s="13">
        <v>8125</v>
      </c>
      <c r="F20" s="14">
        <f t="shared" si="0"/>
        <v>8125</v>
      </c>
      <c r="G20" s="14">
        <f t="shared" si="1"/>
        <v>4583.333333333333</v>
      </c>
      <c r="H20" s="13">
        <v>15922.99</v>
      </c>
      <c r="I20" s="14">
        <f t="shared" si="2"/>
        <v>9166.6666666666661</v>
      </c>
      <c r="J20" s="13">
        <v>55000</v>
      </c>
      <c r="K20" s="33">
        <f t="shared" si="3"/>
        <v>0.28950890909090909</v>
      </c>
    </row>
    <row r="21" spans="1:12" x14ac:dyDescent="0.2">
      <c r="A21" s="11" t="s">
        <v>12</v>
      </c>
      <c r="B21" s="35">
        <f t="shared" ref="B21:J21" si="5">SUM(B9:B20)</f>
        <v>0</v>
      </c>
      <c r="C21" s="35">
        <f t="shared" si="5"/>
        <v>161189.65000000002</v>
      </c>
      <c r="D21" s="36">
        <f t="shared" si="5"/>
        <v>193478.06</v>
      </c>
      <c r="E21" s="36">
        <f t="shared" si="5"/>
        <v>38280.770000000004</v>
      </c>
      <c r="F21" s="35">
        <f t="shared" si="5"/>
        <v>392948.47999999998</v>
      </c>
      <c r="G21" s="35">
        <f t="shared" si="5"/>
        <v>363791.66666666674</v>
      </c>
      <c r="H21" s="35">
        <f t="shared" si="5"/>
        <v>740022.82</v>
      </c>
      <c r="I21" s="35">
        <f>SUM(I9:I20)</f>
        <v>727583.33333333349</v>
      </c>
      <c r="J21" s="36">
        <f t="shared" si="5"/>
        <v>4365500</v>
      </c>
      <c r="K21" s="40">
        <f t="shared" si="3"/>
        <v>0.16951616538769898</v>
      </c>
      <c r="L21" s="2"/>
    </row>
    <row r="22" spans="1:12" x14ac:dyDescent="0.2">
      <c r="A22" s="11"/>
    </row>
    <row r="23" spans="1:12" x14ac:dyDescent="0.2">
      <c r="A23" s="11" t="s">
        <v>13</v>
      </c>
      <c r="B23" s="1" t="s">
        <v>57</v>
      </c>
      <c r="C23" t="s">
        <v>58</v>
      </c>
      <c r="D23" s="8" t="s">
        <v>59</v>
      </c>
      <c r="E23" s="41" t="s">
        <v>87</v>
      </c>
      <c r="F23" s="1" t="s">
        <v>60</v>
      </c>
      <c r="G23" s="1" t="s">
        <v>61</v>
      </c>
      <c r="H23" s="1" t="s">
        <v>62</v>
      </c>
      <c r="I23" s="1" t="s">
        <v>62</v>
      </c>
      <c r="J23" s="8" t="s">
        <v>63</v>
      </c>
      <c r="K23" s="16">
        <f>+K6</f>
        <v>0.1666</v>
      </c>
    </row>
    <row r="24" spans="1:12" x14ac:dyDescent="0.2">
      <c r="A24" s="11"/>
      <c r="B24" s="1"/>
      <c r="D24" s="8"/>
      <c r="E24" s="41" t="s">
        <v>88</v>
      </c>
      <c r="F24" s="1" t="s">
        <v>68</v>
      </c>
      <c r="G24" s="1" t="s">
        <v>65</v>
      </c>
      <c r="H24" s="1" t="s">
        <v>68</v>
      </c>
      <c r="I24" s="1" t="s">
        <v>67</v>
      </c>
      <c r="J24" s="8" t="s">
        <v>67</v>
      </c>
      <c r="K24" s="17" t="s">
        <v>65</v>
      </c>
    </row>
    <row r="25" spans="1:12" x14ac:dyDescent="0.2">
      <c r="A25" s="11"/>
      <c r="B25" s="1"/>
      <c r="D25" s="8"/>
      <c r="E25" s="8"/>
      <c r="F25" s="1"/>
      <c r="G25" s="1"/>
      <c r="H25" s="1"/>
      <c r="I25" s="1"/>
      <c r="J25" s="8"/>
      <c r="K25" s="17" t="s">
        <v>75</v>
      </c>
    </row>
    <row r="26" spans="1:12" x14ac:dyDescent="0.2">
      <c r="A26" s="11" t="s">
        <v>14</v>
      </c>
      <c r="B26" s="13">
        <v>23578.61</v>
      </c>
      <c r="C26" s="13">
        <v>31080.31</v>
      </c>
      <c r="D26" s="13">
        <v>15090.4</v>
      </c>
      <c r="E26" s="13">
        <v>624.22</v>
      </c>
      <c r="F26" s="14">
        <f t="shared" ref="F26:F38" si="6">SUM(B26:E26)</f>
        <v>70373.539999999994</v>
      </c>
      <c r="G26" s="14">
        <f t="shared" ref="G26:G38" si="7">J26/12</f>
        <v>84166.666666666672</v>
      </c>
      <c r="H26" s="13">
        <v>139692.76</v>
      </c>
      <c r="I26" s="14">
        <f t="shared" ref="I26:I38" si="8">G26*2</f>
        <v>168333.33333333334</v>
      </c>
      <c r="J26" s="13">
        <v>1010000</v>
      </c>
      <c r="K26" s="34">
        <f t="shared" ref="K26:K38" si="9">+H26/J26</f>
        <v>0.13830966336633665</v>
      </c>
    </row>
    <row r="27" spans="1:12" x14ac:dyDescent="0.2">
      <c r="A27" s="11" t="s">
        <v>15</v>
      </c>
      <c r="B27" s="13">
        <v>1938.66</v>
      </c>
      <c r="C27" s="13">
        <v>2722.78</v>
      </c>
      <c r="D27" s="13">
        <v>1233.26</v>
      </c>
      <c r="E27" s="13">
        <v>111.7</v>
      </c>
      <c r="F27" s="14">
        <f t="shared" si="6"/>
        <v>6006.4000000000005</v>
      </c>
      <c r="G27" s="14">
        <f t="shared" si="7"/>
        <v>6666.666666666667</v>
      </c>
      <c r="H27" s="13">
        <v>11918.02</v>
      </c>
      <c r="I27" s="14">
        <f t="shared" si="8"/>
        <v>13333.333333333334</v>
      </c>
      <c r="J27" s="13">
        <v>80000</v>
      </c>
      <c r="K27" s="34">
        <f t="shared" si="9"/>
        <v>0.14897525</v>
      </c>
    </row>
    <row r="28" spans="1:12" x14ac:dyDescent="0.2">
      <c r="A28" s="11" t="s">
        <v>16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625</v>
      </c>
      <c r="H28" s="13">
        <f t="shared" ref="H28:H37" si="10">F28</f>
        <v>0</v>
      </c>
      <c r="I28" s="14">
        <f t="shared" si="8"/>
        <v>1250</v>
      </c>
      <c r="J28" s="13">
        <v>7500</v>
      </c>
      <c r="K28" s="34">
        <f t="shared" si="9"/>
        <v>0</v>
      </c>
    </row>
    <row r="29" spans="1:12" x14ac:dyDescent="0.2">
      <c r="A29" s="11" t="s">
        <v>17</v>
      </c>
      <c r="B29" s="13">
        <v>2031.36</v>
      </c>
      <c r="C29" s="13">
        <v>681.3</v>
      </c>
      <c r="D29" s="13">
        <v>1116.8</v>
      </c>
      <c r="E29" s="13">
        <v>73.58</v>
      </c>
      <c r="F29" s="14">
        <f t="shared" si="6"/>
        <v>3903.04</v>
      </c>
      <c r="G29" s="14">
        <f t="shared" si="7"/>
        <v>3600</v>
      </c>
      <c r="H29" s="13">
        <v>7781.16</v>
      </c>
      <c r="I29" s="14">
        <f t="shared" si="8"/>
        <v>7200</v>
      </c>
      <c r="J29" s="13">
        <v>43200</v>
      </c>
      <c r="K29" s="34">
        <f t="shared" si="9"/>
        <v>0.18011944444444444</v>
      </c>
    </row>
    <row r="30" spans="1:12" x14ac:dyDescent="0.2">
      <c r="A30" s="11" t="s">
        <v>18</v>
      </c>
      <c r="B30" s="13">
        <v>0</v>
      </c>
      <c r="C30" s="13">
        <v>0</v>
      </c>
      <c r="D30" s="13">
        <v>20912.36</v>
      </c>
      <c r="E30" s="13">
        <v>0</v>
      </c>
      <c r="F30" s="14">
        <f t="shared" si="6"/>
        <v>20912.36</v>
      </c>
      <c r="G30" s="14">
        <f t="shared" si="7"/>
        <v>8750</v>
      </c>
      <c r="H30" s="13">
        <f t="shared" si="10"/>
        <v>20912.36</v>
      </c>
      <c r="I30" s="14">
        <f t="shared" si="8"/>
        <v>17500</v>
      </c>
      <c r="J30" s="13">
        <v>105000</v>
      </c>
      <c r="K30" s="34">
        <f t="shared" si="9"/>
        <v>0.19916533333333333</v>
      </c>
    </row>
    <row r="31" spans="1:12" x14ac:dyDescent="0.2">
      <c r="A31" s="11" t="s">
        <v>19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833.33333333333337</v>
      </c>
      <c r="H31" s="13">
        <f t="shared" si="10"/>
        <v>0</v>
      </c>
      <c r="I31" s="14">
        <f t="shared" si="8"/>
        <v>1666.6666666666667</v>
      </c>
      <c r="J31" s="13">
        <f>10000</f>
        <v>10000</v>
      </c>
      <c r="K31" s="34">
        <f t="shared" si="9"/>
        <v>0</v>
      </c>
    </row>
    <row r="32" spans="1:12" x14ac:dyDescent="0.2">
      <c r="A32" s="11" t="s">
        <v>20</v>
      </c>
      <c r="B32" s="13">
        <v>0</v>
      </c>
      <c r="C32" s="13">
        <v>0</v>
      </c>
      <c r="D32" s="13">
        <v>0</v>
      </c>
      <c r="E32" s="13">
        <v>0</v>
      </c>
      <c r="F32" s="14">
        <f t="shared" si="6"/>
        <v>0</v>
      </c>
      <c r="G32" s="14">
        <f t="shared" si="7"/>
        <v>2083.3333333333335</v>
      </c>
      <c r="H32" s="13">
        <f t="shared" si="10"/>
        <v>0</v>
      </c>
      <c r="I32" s="14">
        <f t="shared" si="8"/>
        <v>4166.666666666667</v>
      </c>
      <c r="J32" s="13">
        <v>25000</v>
      </c>
      <c r="K32" s="34">
        <f t="shared" si="9"/>
        <v>0</v>
      </c>
    </row>
    <row r="33" spans="1:20" x14ac:dyDescent="0.2">
      <c r="A33" s="11" t="s">
        <v>21</v>
      </c>
      <c r="B33" s="13">
        <v>0</v>
      </c>
      <c r="C33" s="13">
        <v>0</v>
      </c>
      <c r="D33" s="13">
        <v>0</v>
      </c>
      <c r="E33" s="13">
        <v>0</v>
      </c>
      <c r="F33" s="14">
        <f t="shared" si="6"/>
        <v>0</v>
      </c>
      <c r="G33" s="14">
        <f t="shared" si="7"/>
        <v>1750</v>
      </c>
      <c r="H33" s="13">
        <f t="shared" si="10"/>
        <v>0</v>
      </c>
      <c r="I33" s="14">
        <f t="shared" si="8"/>
        <v>3500</v>
      </c>
      <c r="J33" s="13">
        <v>21000</v>
      </c>
      <c r="K33" s="34">
        <f t="shared" si="9"/>
        <v>0</v>
      </c>
    </row>
    <row r="34" spans="1:20" x14ac:dyDescent="0.2">
      <c r="A34" s="11" t="s">
        <v>22</v>
      </c>
      <c r="B34" s="13">
        <v>0</v>
      </c>
      <c r="C34" s="13">
        <v>1062.1600000000001</v>
      </c>
      <c r="D34" s="13">
        <v>1026.22</v>
      </c>
      <c r="E34" s="13">
        <v>0</v>
      </c>
      <c r="F34" s="14">
        <f t="shared" si="6"/>
        <v>2088.38</v>
      </c>
      <c r="G34" s="14">
        <f t="shared" si="7"/>
        <v>2666.6666666666665</v>
      </c>
      <c r="H34" s="13">
        <v>2873.19</v>
      </c>
      <c r="I34" s="14">
        <f t="shared" si="8"/>
        <v>5333.333333333333</v>
      </c>
      <c r="J34" s="13">
        <v>32000</v>
      </c>
      <c r="K34" s="34">
        <f t="shared" si="9"/>
        <v>8.9787187500000004E-2</v>
      </c>
    </row>
    <row r="35" spans="1:20" x14ac:dyDescent="0.2">
      <c r="A35" s="11" t="s">
        <v>23</v>
      </c>
      <c r="B35" s="13">
        <v>0</v>
      </c>
      <c r="C35" s="13">
        <v>4190.75</v>
      </c>
      <c r="D35" s="13">
        <v>4190.74</v>
      </c>
      <c r="E35" s="13">
        <v>0</v>
      </c>
      <c r="F35" s="14">
        <f t="shared" si="6"/>
        <v>8381.49</v>
      </c>
      <c r="G35" s="14">
        <f t="shared" si="7"/>
        <v>10833.333333333334</v>
      </c>
      <c r="H35" s="13">
        <v>18249.36</v>
      </c>
      <c r="I35" s="14">
        <f t="shared" si="8"/>
        <v>21666.666666666668</v>
      </c>
      <c r="J35" s="13">
        <v>130000</v>
      </c>
      <c r="K35" s="34">
        <f t="shared" si="9"/>
        <v>0.14037969230769232</v>
      </c>
    </row>
    <row r="36" spans="1:20" x14ac:dyDescent="0.2">
      <c r="A36" s="11" t="s">
        <v>24</v>
      </c>
      <c r="B36" s="13">
        <v>0</v>
      </c>
      <c r="C36" s="13">
        <v>0</v>
      </c>
      <c r="D36" s="13">
        <v>0</v>
      </c>
      <c r="E36" s="13">
        <v>0</v>
      </c>
      <c r="F36" s="14">
        <f t="shared" si="6"/>
        <v>0</v>
      </c>
      <c r="G36" s="14">
        <f t="shared" si="7"/>
        <v>1666.6666666666667</v>
      </c>
      <c r="H36" s="13">
        <v>193.13</v>
      </c>
      <c r="I36" s="14">
        <f t="shared" si="8"/>
        <v>3333.3333333333335</v>
      </c>
      <c r="J36" s="13">
        <v>20000</v>
      </c>
      <c r="K36" s="34">
        <f t="shared" si="9"/>
        <v>9.6565000000000002E-3</v>
      </c>
    </row>
    <row r="37" spans="1:20" x14ac:dyDescent="0.2">
      <c r="A37" s="11" t="s">
        <v>25</v>
      </c>
      <c r="B37" s="13">
        <v>0</v>
      </c>
      <c r="C37" s="13">
        <v>0</v>
      </c>
      <c r="D37" s="13">
        <v>0</v>
      </c>
      <c r="E37" s="13">
        <v>0</v>
      </c>
      <c r="F37" s="14">
        <f t="shared" si="6"/>
        <v>0</v>
      </c>
      <c r="G37" s="14">
        <f t="shared" si="7"/>
        <v>250</v>
      </c>
      <c r="H37" s="13">
        <f t="shared" si="10"/>
        <v>0</v>
      </c>
      <c r="I37" s="14">
        <f t="shared" si="8"/>
        <v>500</v>
      </c>
      <c r="J37" s="13">
        <f>1500+1500</f>
        <v>3000</v>
      </c>
      <c r="K37" s="34">
        <f t="shared" si="9"/>
        <v>0</v>
      </c>
    </row>
    <row r="38" spans="1:20" x14ac:dyDescent="0.2">
      <c r="A38" s="11" t="s">
        <v>26</v>
      </c>
      <c r="B38" s="13">
        <v>0</v>
      </c>
      <c r="C38" s="13">
        <v>0</v>
      </c>
      <c r="D38" s="13">
        <v>0</v>
      </c>
      <c r="E38" s="13">
        <v>0</v>
      </c>
      <c r="F38" s="14">
        <f t="shared" si="6"/>
        <v>0</v>
      </c>
      <c r="G38" s="14">
        <f t="shared" si="7"/>
        <v>30833.333333333332</v>
      </c>
      <c r="H38" s="13">
        <v>8425</v>
      </c>
      <c r="I38" s="14">
        <f t="shared" si="8"/>
        <v>61666.666666666664</v>
      </c>
      <c r="J38" s="13">
        <v>370000</v>
      </c>
      <c r="K38" s="34">
        <f t="shared" si="9"/>
        <v>2.277027027027027E-2</v>
      </c>
    </row>
    <row r="39" spans="1:20" x14ac:dyDescent="0.2">
      <c r="A39" s="11"/>
      <c r="B39" s="14"/>
      <c r="C39" s="13"/>
      <c r="D39" s="13"/>
      <c r="E39" s="13"/>
      <c r="F39" s="14"/>
      <c r="G39" s="14"/>
      <c r="H39" s="14"/>
      <c r="I39" s="14"/>
      <c r="J39" s="13"/>
    </row>
    <row r="40" spans="1:20" x14ac:dyDescent="0.2">
      <c r="A40" s="11"/>
      <c r="B40" s="2"/>
      <c r="C40" s="6"/>
      <c r="D40" s="6"/>
      <c r="E40" s="6"/>
      <c r="F40" s="2"/>
      <c r="G40" s="2"/>
      <c r="H40" s="2"/>
      <c r="I40" s="2"/>
      <c r="J40" s="6"/>
    </row>
    <row r="41" spans="1:20" x14ac:dyDescent="0.2">
      <c r="A41" s="11"/>
      <c r="B41" s="1"/>
      <c r="C41" s="7"/>
      <c r="D41" s="8"/>
      <c r="E41" s="8"/>
      <c r="F41" s="1"/>
      <c r="G41" s="1"/>
      <c r="H41" s="1"/>
      <c r="I41" s="1"/>
      <c r="J41" s="8"/>
      <c r="L41" s="1"/>
      <c r="M41" s="1"/>
      <c r="O41" s="1"/>
      <c r="P41" s="1"/>
      <c r="Q41" s="1"/>
      <c r="R41" s="1"/>
      <c r="S41" s="1"/>
      <c r="T41" s="1"/>
    </row>
    <row r="42" spans="1:20" x14ac:dyDescent="0.2">
      <c r="A42" s="11"/>
      <c r="B42" s="2"/>
      <c r="C42" s="6"/>
      <c r="D42" s="6"/>
      <c r="E42" s="6"/>
      <c r="F42" s="2"/>
      <c r="G42" s="2"/>
      <c r="H42" s="2"/>
      <c r="I42" s="2"/>
      <c r="J42" s="6"/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41" t="s">
        <v>87</v>
      </c>
      <c r="F43" s="1" t="s">
        <v>60</v>
      </c>
      <c r="G43" s="1" t="s">
        <v>61</v>
      </c>
      <c r="H43" s="1" t="s">
        <v>62</v>
      </c>
      <c r="I43" s="1" t="s">
        <v>62</v>
      </c>
      <c r="J43" s="8" t="s">
        <v>63</v>
      </c>
      <c r="K43" s="16">
        <f>+K6</f>
        <v>0.1666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/>
      <c r="B44" s="1"/>
      <c r="C44" s="7"/>
      <c r="D44" s="8"/>
      <c r="E44" s="41" t="s">
        <v>88</v>
      </c>
      <c r="F44" s="1" t="s">
        <v>68</v>
      </c>
      <c r="G44" s="1" t="s">
        <v>65</v>
      </c>
      <c r="H44" s="1" t="s">
        <v>68</v>
      </c>
      <c r="I44" s="1" t="s">
        <v>67</v>
      </c>
      <c r="J44" s="8" t="s">
        <v>67</v>
      </c>
      <c r="K44" s="17" t="s">
        <v>65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/>
      <c r="B45" s="1"/>
      <c r="C45" s="7"/>
      <c r="D45" s="8"/>
      <c r="E45" s="8"/>
      <c r="F45" s="1"/>
      <c r="G45" s="1"/>
      <c r="H45" s="1"/>
      <c r="I45" s="1"/>
      <c r="J45" s="8"/>
      <c r="K45" s="17" t="s">
        <v>75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27</v>
      </c>
      <c r="B46" s="6">
        <v>4818.6499999999996</v>
      </c>
      <c r="C46" s="6">
        <v>7659.93</v>
      </c>
      <c r="D46" s="6">
        <v>4377.84</v>
      </c>
      <c r="E46" s="6">
        <v>263.39999999999998</v>
      </c>
      <c r="F46" s="14">
        <f t="shared" ref="F46:F72" si="11">SUM(B46:E46)</f>
        <v>17119.82</v>
      </c>
      <c r="G46" s="2">
        <f t="shared" ref="G46:G48" si="12">J46/12</f>
        <v>16500</v>
      </c>
      <c r="H46" s="6">
        <v>34254.720000000001</v>
      </c>
      <c r="I46" s="14">
        <f t="shared" ref="I46:I72" si="13">G46*2</f>
        <v>33000</v>
      </c>
      <c r="J46" s="6">
        <v>198000</v>
      </c>
      <c r="K46" s="34">
        <f t="shared" ref="K46:K73" si="14">+H46/J46</f>
        <v>0.17300363636363636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28</v>
      </c>
      <c r="B47" s="13">
        <v>0</v>
      </c>
      <c r="C47" s="13">
        <v>0</v>
      </c>
      <c r="D47" s="13">
        <v>0</v>
      </c>
      <c r="E47" s="13">
        <v>0</v>
      </c>
      <c r="F47" s="14">
        <f t="shared" si="11"/>
        <v>0</v>
      </c>
      <c r="G47" s="14">
        <f t="shared" si="12"/>
        <v>25520.833333333332</v>
      </c>
      <c r="H47" s="13">
        <v>290231</v>
      </c>
      <c r="I47" s="14">
        <f t="shared" si="13"/>
        <v>51041.666666666664</v>
      </c>
      <c r="J47" s="13">
        <v>306250</v>
      </c>
      <c r="K47" s="34">
        <f t="shared" si="14"/>
        <v>0.94769306122448982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29</v>
      </c>
      <c r="B48" s="13">
        <v>0</v>
      </c>
      <c r="C48" s="13">
        <v>0</v>
      </c>
      <c r="D48" s="13">
        <v>0</v>
      </c>
      <c r="E48" s="13">
        <v>0</v>
      </c>
      <c r="F48" s="14">
        <f t="shared" si="11"/>
        <v>0</v>
      </c>
      <c r="G48" s="14">
        <f t="shared" si="12"/>
        <v>416.66666666666669</v>
      </c>
      <c r="H48" s="13">
        <v>248</v>
      </c>
      <c r="I48" s="14">
        <f t="shared" si="13"/>
        <v>833.33333333333337</v>
      </c>
      <c r="J48" s="13">
        <f>2500+2500</f>
        <v>5000</v>
      </c>
      <c r="K48" s="34">
        <f t="shared" si="14"/>
        <v>4.9599999999999998E-2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30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>J49/12</f>
        <v>1333.3333333333333</v>
      </c>
      <c r="H49" s="13">
        <v>585.74</v>
      </c>
      <c r="I49" s="14">
        <f t="shared" si="13"/>
        <v>2666.6666666666665</v>
      </c>
      <c r="J49" s="13">
        <f>8000+8000</f>
        <v>16000</v>
      </c>
      <c r="K49" s="34">
        <f t="shared" si="14"/>
        <v>3.6608750000000002E-2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32</v>
      </c>
      <c r="B50" s="13">
        <v>0</v>
      </c>
      <c r="C50" s="13">
        <v>0</v>
      </c>
      <c r="D50" s="13">
        <v>0</v>
      </c>
      <c r="E50" s="13">
        <v>0</v>
      </c>
      <c r="F50" s="14">
        <f t="shared" si="11"/>
        <v>0</v>
      </c>
      <c r="G50" s="14">
        <f t="shared" ref="G50:G72" si="15">J50/12</f>
        <v>6500</v>
      </c>
      <c r="H50" s="13">
        <v>0</v>
      </c>
      <c r="I50" s="14">
        <f t="shared" si="13"/>
        <v>13000</v>
      </c>
      <c r="J50" s="13">
        <v>78000</v>
      </c>
      <c r="K50" s="34">
        <f t="shared" si="14"/>
        <v>0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33</v>
      </c>
      <c r="B51" s="13">
        <v>0</v>
      </c>
      <c r="C51" s="13">
        <v>0</v>
      </c>
      <c r="D51" s="13">
        <v>0</v>
      </c>
      <c r="E51" s="13">
        <v>0</v>
      </c>
      <c r="F51" s="14">
        <f t="shared" si="11"/>
        <v>0</v>
      </c>
      <c r="G51" s="14">
        <f t="shared" si="15"/>
        <v>750</v>
      </c>
      <c r="H51" s="13">
        <f t="shared" ref="H51:H72" si="16">F51</f>
        <v>0</v>
      </c>
      <c r="I51" s="14">
        <f t="shared" si="13"/>
        <v>1500</v>
      </c>
      <c r="J51" s="13">
        <v>9000</v>
      </c>
      <c r="K51" s="34">
        <f t="shared" si="14"/>
        <v>0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34</v>
      </c>
      <c r="B52" s="13">
        <v>0</v>
      </c>
      <c r="C52" s="13">
        <v>403.5</v>
      </c>
      <c r="D52" s="13">
        <v>515.98</v>
      </c>
      <c r="E52" s="13">
        <v>0</v>
      </c>
      <c r="F52" s="14">
        <f t="shared" si="11"/>
        <v>919.48</v>
      </c>
      <c r="G52" s="14">
        <f t="shared" si="15"/>
        <v>1250</v>
      </c>
      <c r="H52" s="13">
        <v>2453.88</v>
      </c>
      <c r="I52" s="14">
        <f t="shared" si="13"/>
        <v>2500</v>
      </c>
      <c r="J52" s="13">
        <v>15000</v>
      </c>
      <c r="K52" s="34">
        <f t="shared" si="14"/>
        <v>0.16359200000000002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35</v>
      </c>
      <c r="B53" s="13">
        <v>0</v>
      </c>
      <c r="C53" s="13">
        <v>1085.72</v>
      </c>
      <c r="D53" s="13">
        <v>1327.96</v>
      </c>
      <c r="E53" s="13">
        <v>0</v>
      </c>
      <c r="F53" s="14">
        <f t="shared" si="11"/>
        <v>2413.6800000000003</v>
      </c>
      <c r="G53" s="14">
        <f t="shared" si="15"/>
        <v>13750</v>
      </c>
      <c r="H53" s="13">
        <v>17926.63</v>
      </c>
      <c r="I53" s="14">
        <f t="shared" si="13"/>
        <v>27500</v>
      </c>
      <c r="J53" s="13">
        <v>165000</v>
      </c>
      <c r="K53" s="34">
        <f t="shared" si="14"/>
        <v>0.10864624242424244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36</v>
      </c>
      <c r="B54" s="13">
        <v>0</v>
      </c>
      <c r="C54" s="13">
        <v>75635.289999999994</v>
      </c>
      <c r="D54" s="13">
        <v>0</v>
      </c>
      <c r="E54" s="13">
        <v>0</v>
      </c>
      <c r="F54" s="14">
        <f t="shared" si="11"/>
        <v>75635.289999999994</v>
      </c>
      <c r="G54" s="14">
        <f t="shared" si="15"/>
        <v>91666.666666666672</v>
      </c>
      <c r="H54" s="13">
        <v>155668.01999999999</v>
      </c>
      <c r="I54" s="14">
        <f t="shared" si="13"/>
        <v>183333.33333333334</v>
      </c>
      <c r="J54" s="13">
        <v>1100000</v>
      </c>
      <c r="K54" s="34">
        <f t="shared" si="14"/>
        <v>0.1415163818181818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37</v>
      </c>
      <c r="B55" s="13">
        <v>0</v>
      </c>
      <c r="C55" s="13">
        <v>0</v>
      </c>
      <c r="D55" s="13">
        <v>0</v>
      </c>
      <c r="E55" s="13">
        <v>0</v>
      </c>
      <c r="F55" s="14">
        <f t="shared" si="11"/>
        <v>0</v>
      </c>
      <c r="G55" s="14">
        <f t="shared" si="15"/>
        <v>875</v>
      </c>
      <c r="H55" s="13">
        <f t="shared" si="16"/>
        <v>0</v>
      </c>
      <c r="I55" s="14">
        <f t="shared" si="13"/>
        <v>1750</v>
      </c>
      <c r="J55" s="13">
        <v>10500</v>
      </c>
      <c r="K55" s="34">
        <f t="shared" si="14"/>
        <v>0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38</v>
      </c>
      <c r="B56" s="13">
        <v>0</v>
      </c>
      <c r="C56" s="13">
        <v>0</v>
      </c>
      <c r="D56" s="13">
        <v>0</v>
      </c>
      <c r="E56" s="13">
        <v>5110</v>
      </c>
      <c r="F56" s="14">
        <f t="shared" si="11"/>
        <v>5110</v>
      </c>
      <c r="G56" s="14">
        <f t="shared" si="15"/>
        <v>3333.3333333333335</v>
      </c>
      <c r="H56" s="13">
        <v>10059</v>
      </c>
      <c r="I56" s="14">
        <f t="shared" si="13"/>
        <v>6666.666666666667</v>
      </c>
      <c r="J56" s="13">
        <v>40000</v>
      </c>
      <c r="K56" s="34">
        <f t="shared" si="14"/>
        <v>0.251475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39</v>
      </c>
      <c r="B57" s="13">
        <v>0</v>
      </c>
      <c r="C57" s="13">
        <v>0</v>
      </c>
      <c r="D57" s="13">
        <v>0</v>
      </c>
      <c r="E57" s="13">
        <v>245.7</v>
      </c>
      <c r="F57" s="14">
        <f t="shared" si="11"/>
        <v>245.7</v>
      </c>
      <c r="G57" s="14">
        <f t="shared" si="15"/>
        <v>625</v>
      </c>
      <c r="H57" s="13">
        <v>270.27999999999997</v>
      </c>
      <c r="I57" s="14">
        <f t="shared" si="13"/>
        <v>1250</v>
      </c>
      <c r="J57" s="13">
        <v>7500</v>
      </c>
      <c r="K57" s="34">
        <f t="shared" si="14"/>
        <v>3.6037333333333331E-2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40</v>
      </c>
      <c r="B58" s="13">
        <v>0</v>
      </c>
      <c r="C58" s="13">
        <v>0</v>
      </c>
      <c r="D58" s="13">
        <v>0</v>
      </c>
      <c r="E58" s="13">
        <v>0</v>
      </c>
      <c r="F58" s="14">
        <f t="shared" si="11"/>
        <v>0</v>
      </c>
      <c r="G58" s="14">
        <f t="shared" si="15"/>
        <v>875</v>
      </c>
      <c r="H58" s="13">
        <v>1194.5</v>
      </c>
      <c r="I58" s="14">
        <f t="shared" si="13"/>
        <v>1750</v>
      </c>
      <c r="J58" s="13">
        <v>10500</v>
      </c>
      <c r="K58" s="34">
        <f t="shared" si="14"/>
        <v>0.11376190476190476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41</v>
      </c>
      <c r="B59" s="13">
        <v>3081.14</v>
      </c>
      <c r="C59" s="13">
        <v>2480.41</v>
      </c>
      <c r="D59" s="13">
        <v>44.82</v>
      </c>
      <c r="E59" s="13">
        <v>0</v>
      </c>
      <c r="F59" s="14">
        <f t="shared" si="11"/>
        <v>5606.369999999999</v>
      </c>
      <c r="G59" s="14">
        <f t="shared" si="15"/>
        <v>2500</v>
      </c>
      <c r="H59" s="13">
        <v>8928.59</v>
      </c>
      <c r="I59" s="14">
        <f t="shared" si="13"/>
        <v>5000</v>
      </c>
      <c r="J59" s="13">
        <v>30000</v>
      </c>
      <c r="K59" s="34">
        <f t="shared" si="14"/>
        <v>0.29761966666666667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42</v>
      </c>
      <c r="B60" s="13">
        <v>0</v>
      </c>
      <c r="C60" s="13">
        <v>0</v>
      </c>
      <c r="D60" s="13">
        <v>0</v>
      </c>
      <c r="E60" s="13">
        <v>11893.71</v>
      </c>
      <c r="F60" s="14">
        <f t="shared" si="11"/>
        <v>11893.71</v>
      </c>
      <c r="G60" s="14">
        <f t="shared" si="15"/>
        <v>13333.333333333334</v>
      </c>
      <c r="H60" s="13">
        <f t="shared" si="16"/>
        <v>11893.71</v>
      </c>
      <c r="I60" s="14">
        <f t="shared" si="13"/>
        <v>26666.666666666668</v>
      </c>
      <c r="J60" s="13">
        <v>160000</v>
      </c>
      <c r="K60" s="34">
        <f t="shared" si="14"/>
        <v>7.4335687499999997E-2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43</v>
      </c>
      <c r="B61" s="13">
        <v>0</v>
      </c>
      <c r="C61" s="13">
        <v>0</v>
      </c>
      <c r="D61" s="13">
        <v>0</v>
      </c>
      <c r="E61" s="13">
        <v>5738.18</v>
      </c>
      <c r="F61" s="14">
        <f t="shared" si="11"/>
        <v>5738.18</v>
      </c>
      <c r="G61" s="14">
        <f t="shared" si="15"/>
        <v>3333.3333333333335</v>
      </c>
      <c r="H61" s="13">
        <v>9210.92</v>
      </c>
      <c r="I61" s="14">
        <f t="shared" si="13"/>
        <v>6666.666666666667</v>
      </c>
      <c r="J61" s="13">
        <v>40000</v>
      </c>
      <c r="K61" s="34">
        <f t="shared" si="14"/>
        <v>0.23027300000000001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44</v>
      </c>
      <c r="B62" s="13">
        <v>0</v>
      </c>
      <c r="C62" s="13">
        <v>0</v>
      </c>
      <c r="D62" s="13">
        <v>0</v>
      </c>
      <c r="E62" s="13">
        <v>0</v>
      </c>
      <c r="F62" s="14">
        <f t="shared" si="11"/>
        <v>0</v>
      </c>
      <c r="G62" s="14">
        <f t="shared" si="15"/>
        <v>1583.3333333333333</v>
      </c>
      <c r="H62" s="13">
        <v>22802</v>
      </c>
      <c r="I62" s="14">
        <f t="shared" si="13"/>
        <v>3166.6666666666665</v>
      </c>
      <c r="J62" s="13">
        <v>19000</v>
      </c>
      <c r="K62" s="34">
        <f t="shared" si="14"/>
        <v>1.2001052631578948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45</v>
      </c>
      <c r="B63" s="13">
        <v>0</v>
      </c>
      <c r="C63" s="13">
        <v>1808.38</v>
      </c>
      <c r="D63" s="13">
        <v>0</v>
      </c>
      <c r="E63" s="13">
        <v>0</v>
      </c>
      <c r="F63" s="14">
        <f t="shared" si="11"/>
        <v>1808.38</v>
      </c>
      <c r="G63" s="14">
        <f t="shared" si="15"/>
        <v>1416.6666666666667</v>
      </c>
      <c r="H63" s="13">
        <v>3378.48</v>
      </c>
      <c r="I63" s="14">
        <f t="shared" si="13"/>
        <v>2833.3333333333335</v>
      </c>
      <c r="J63" s="13">
        <v>17000</v>
      </c>
      <c r="K63" s="34">
        <f t="shared" si="14"/>
        <v>0.19873411764705881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46</v>
      </c>
      <c r="B64" s="13">
        <v>0</v>
      </c>
      <c r="C64" s="13">
        <v>0</v>
      </c>
      <c r="D64" s="13">
        <v>0</v>
      </c>
      <c r="E64" s="13">
        <v>0</v>
      </c>
      <c r="F64" s="14">
        <f t="shared" si="11"/>
        <v>0</v>
      </c>
      <c r="G64" s="14">
        <f t="shared" si="15"/>
        <v>1666.6666666666667</v>
      </c>
      <c r="H64" s="13">
        <f t="shared" si="16"/>
        <v>0</v>
      </c>
      <c r="I64" s="14">
        <f t="shared" si="13"/>
        <v>3333.3333333333335</v>
      </c>
      <c r="J64" s="13">
        <v>20000</v>
      </c>
      <c r="K64" s="34">
        <f t="shared" si="14"/>
        <v>0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47</v>
      </c>
      <c r="B65" s="13">
        <v>11540.39</v>
      </c>
      <c r="C65" s="13">
        <v>0</v>
      </c>
      <c r="D65" s="13">
        <v>0</v>
      </c>
      <c r="E65" s="13">
        <v>0</v>
      </c>
      <c r="F65" s="14">
        <f t="shared" si="11"/>
        <v>11540.39</v>
      </c>
      <c r="G65" s="14">
        <f t="shared" si="15"/>
        <v>12541.666666666666</v>
      </c>
      <c r="H65" s="13">
        <v>22780.75</v>
      </c>
      <c r="I65" s="14">
        <f t="shared" si="13"/>
        <v>25083.333333333332</v>
      </c>
      <c r="J65" s="13">
        <v>150500</v>
      </c>
      <c r="K65" s="34">
        <f t="shared" si="14"/>
        <v>0.15136710963455149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48</v>
      </c>
      <c r="B66" s="13">
        <v>0</v>
      </c>
      <c r="C66" s="13">
        <v>0</v>
      </c>
      <c r="D66" s="13">
        <v>0</v>
      </c>
      <c r="E66" s="13">
        <v>0</v>
      </c>
      <c r="F66" s="14">
        <f t="shared" si="11"/>
        <v>0</v>
      </c>
      <c r="G66" s="14">
        <f t="shared" si="15"/>
        <v>83.333333333333329</v>
      </c>
      <c r="H66" s="13">
        <f t="shared" si="16"/>
        <v>0</v>
      </c>
      <c r="I66" s="14">
        <f t="shared" si="13"/>
        <v>166.66666666666666</v>
      </c>
      <c r="J66" s="13">
        <v>1000</v>
      </c>
      <c r="K66" s="34">
        <f t="shared" si="14"/>
        <v>0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49</v>
      </c>
      <c r="B67" s="13">
        <v>219</v>
      </c>
      <c r="C67" s="13">
        <v>97.25</v>
      </c>
      <c r="D67" s="13">
        <v>26.5</v>
      </c>
      <c r="E67" s="13">
        <v>0</v>
      </c>
      <c r="F67" s="14">
        <f t="shared" si="11"/>
        <v>342.75</v>
      </c>
      <c r="G67" s="14">
        <f t="shared" si="15"/>
        <v>208.33333333333334</v>
      </c>
      <c r="H67" s="13">
        <f t="shared" si="16"/>
        <v>342.75</v>
      </c>
      <c r="I67" s="14">
        <f t="shared" si="13"/>
        <v>416.66666666666669</v>
      </c>
      <c r="J67" s="13">
        <v>2500</v>
      </c>
      <c r="K67" s="34">
        <f t="shared" si="14"/>
        <v>0.1371</v>
      </c>
      <c r="L67" s="1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11" t="s">
        <v>50</v>
      </c>
      <c r="B68" s="13">
        <v>4237.5</v>
      </c>
      <c r="C68" s="13">
        <v>0</v>
      </c>
      <c r="D68" s="13">
        <v>0</v>
      </c>
      <c r="E68" s="13">
        <v>0</v>
      </c>
      <c r="F68" s="14">
        <f t="shared" si="11"/>
        <v>4237.5</v>
      </c>
      <c r="G68" s="14">
        <f t="shared" si="15"/>
        <v>2500</v>
      </c>
      <c r="H68" s="13">
        <f t="shared" si="16"/>
        <v>4237.5</v>
      </c>
      <c r="I68" s="14">
        <f t="shared" si="13"/>
        <v>5000</v>
      </c>
      <c r="J68" s="13">
        <v>30000</v>
      </c>
      <c r="K68" s="34">
        <f t="shared" si="14"/>
        <v>0.14124999999999999</v>
      </c>
      <c r="L68" s="1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11" t="s">
        <v>52</v>
      </c>
      <c r="B69" s="13">
        <v>0</v>
      </c>
      <c r="C69" s="13">
        <v>3786.86</v>
      </c>
      <c r="D69" s="13">
        <v>0</v>
      </c>
      <c r="E69" s="13">
        <v>0</v>
      </c>
      <c r="F69" s="14">
        <f t="shared" si="11"/>
        <v>3786.86</v>
      </c>
      <c r="G69" s="14">
        <f t="shared" si="15"/>
        <v>4000</v>
      </c>
      <c r="H69" s="13">
        <v>7198.27</v>
      </c>
      <c r="I69" s="14">
        <f t="shared" si="13"/>
        <v>8000</v>
      </c>
      <c r="J69" s="13">
        <v>48000</v>
      </c>
      <c r="K69" s="34">
        <f t="shared" si="14"/>
        <v>0.14996395833333334</v>
      </c>
      <c r="L69" s="1"/>
      <c r="M69" s="2"/>
      <c r="N69" s="2"/>
      <c r="O69" s="2"/>
      <c r="P69" s="3"/>
      <c r="R69" s="3"/>
    </row>
    <row r="70" spans="1:20" x14ac:dyDescent="0.2">
      <c r="A70" s="11" t="s">
        <v>53</v>
      </c>
      <c r="B70" s="13">
        <v>0</v>
      </c>
      <c r="C70" s="13">
        <v>812</v>
      </c>
      <c r="D70" s="13">
        <v>0</v>
      </c>
      <c r="E70" s="13">
        <v>0</v>
      </c>
      <c r="F70" s="14">
        <f t="shared" si="11"/>
        <v>812</v>
      </c>
      <c r="G70" s="14">
        <f t="shared" si="15"/>
        <v>833.33333333333337</v>
      </c>
      <c r="H70" s="13">
        <v>1093.23</v>
      </c>
      <c r="I70" s="14">
        <f t="shared" si="13"/>
        <v>1666.6666666666667</v>
      </c>
      <c r="J70" s="13">
        <v>10000</v>
      </c>
      <c r="K70" s="34">
        <f t="shared" si="14"/>
        <v>0.109323</v>
      </c>
    </row>
    <row r="71" spans="1:20" x14ac:dyDescent="0.2">
      <c r="A71" s="11" t="s">
        <v>54</v>
      </c>
      <c r="B71" s="13">
        <v>0</v>
      </c>
      <c r="C71" s="13">
        <v>0</v>
      </c>
      <c r="D71" s="13">
        <v>0</v>
      </c>
      <c r="E71" s="13">
        <v>0</v>
      </c>
      <c r="F71" s="14">
        <f t="shared" si="11"/>
        <v>0</v>
      </c>
      <c r="G71" s="14">
        <f t="shared" si="15"/>
        <v>4.166666666666667</v>
      </c>
      <c r="H71" s="13">
        <f t="shared" si="16"/>
        <v>0</v>
      </c>
      <c r="I71" s="14">
        <f t="shared" si="13"/>
        <v>8.3333333333333339</v>
      </c>
      <c r="J71" s="13">
        <v>50</v>
      </c>
      <c r="K71" s="34">
        <f t="shared" si="14"/>
        <v>0</v>
      </c>
    </row>
    <row r="72" spans="1:20" x14ac:dyDescent="0.2">
      <c r="A72" s="11" t="s">
        <v>72</v>
      </c>
      <c r="B72" s="13">
        <v>0</v>
      </c>
      <c r="C72" s="13">
        <v>0</v>
      </c>
      <c r="D72" s="13">
        <v>0</v>
      </c>
      <c r="E72" s="13">
        <v>0</v>
      </c>
      <c r="F72" s="14">
        <f t="shared" si="11"/>
        <v>0</v>
      </c>
      <c r="G72" s="14">
        <f t="shared" si="15"/>
        <v>1666.6666666666667</v>
      </c>
      <c r="H72" s="13">
        <f t="shared" si="16"/>
        <v>0</v>
      </c>
      <c r="I72" s="14">
        <f t="shared" si="13"/>
        <v>3333.3333333333335</v>
      </c>
      <c r="J72" s="13">
        <v>20000</v>
      </c>
      <c r="K72" s="33">
        <f t="shared" si="14"/>
        <v>0</v>
      </c>
    </row>
    <row r="73" spans="1:20" x14ac:dyDescent="0.2">
      <c r="A73" s="11" t="s">
        <v>55</v>
      </c>
      <c r="B73" s="35">
        <f t="shared" ref="B73:I73" si="17">SUM(B26:B72)</f>
        <v>51445.31</v>
      </c>
      <c r="C73" s="35">
        <f t="shared" si="17"/>
        <v>133506.64000000001</v>
      </c>
      <c r="D73" s="36">
        <f t="shared" si="17"/>
        <v>49862.879999999997</v>
      </c>
      <c r="E73" s="36">
        <f t="shared" si="17"/>
        <v>24060.489999999998</v>
      </c>
      <c r="F73" s="35">
        <f t="shared" si="17"/>
        <v>258875.31999999995</v>
      </c>
      <c r="G73" s="35">
        <f t="shared" si="17"/>
        <v>363791.66666666663</v>
      </c>
      <c r="H73" s="35">
        <f t="shared" si="17"/>
        <v>814802.95</v>
      </c>
      <c r="I73" s="35">
        <f t="shared" si="17"/>
        <v>727583.33333333326</v>
      </c>
      <c r="J73" s="36">
        <f>SUM(J46:J72)+SUM(J26:J38)</f>
        <v>4365500</v>
      </c>
      <c r="K73" s="37">
        <f t="shared" si="14"/>
        <v>0.18664596266177985</v>
      </c>
    </row>
    <row r="74" spans="1:20" x14ac:dyDescent="0.2">
      <c r="B74" s="14"/>
      <c r="C74" s="14" t="s">
        <v>69</v>
      </c>
      <c r="D74" s="13"/>
      <c r="E74" s="13"/>
      <c r="F74" s="14"/>
      <c r="G74" s="14"/>
      <c r="H74" s="14"/>
      <c r="I74" s="14"/>
      <c r="J74" s="13"/>
    </row>
    <row r="75" spans="1:20" ht="13.5" thickBot="1" x14ac:dyDescent="0.25">
      <c r="A75" s="11" t="s">
        <v>56</v>
      </c>
      <c r="B75" s="38">
        <f t="shared" ref="B75:H75" si="18">B21-B73</f>
        <v>-51445.31</v>
      </c>
      <c r="C75" s="38">
        <f t="shared" si="18"/>
        <v>27683.010000000009</v>
      </c>
      <c r="D75" s="39">
        <f t="shared" si="18"/>
        <v>143615.18</v>
      </c>
      <c r="E75" s="39">
        <f t="shared" si="18"/>
        <v>14220.280000000006</v>
      </c>
      <c r="F75" s="38">
        <f t="shared" si="18"/>
        <v>134073.16000000003</v>
      </c>
      <c r="G75" s="38">
        <f t="shared" si="18"/>
        <v>0</v>
      </c>
      <c r="H75" s="38">
        <f t="shared" si="18"/>
        <v>-74780.13</v>
      </c>
      <c r="I75" s="10"/>
      <c r="J75" s="12"/>
    </row>
    <row r="76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6"/>
  <sheetViews>
    <sheetView topLeftCell="A40" zoomScaleNormal="100" workbookViewId="0">
      <selection activeCell="C61" sqref="C61"/>
    </sheetView>
  </sheetViews>
  <sheetFormatPr defaultRowHeight="12.75" x14ac:dyDescent="0.2"/>
  <cols>
    <col min="1" max="1" width="28.7109375" style="10" bestFit="1" customWidth="1"/>
    <col min="2" max="2" width="9.7109375" bestFit="1" customWidth="1"/>
    <col min="3" max="3" width="10.7109375" customWidth="1"/>
    <col min="4" max="4" width="11.140625" style="7" customWidth="1"/>
    <col min="5" max="5" width="10.7109375" bestFit="1" customWidth="1"/>
    <col min="6" max="6" width="10.5703125" customWidth="1"/>
    <col min="7" max="7" width="11.28515625" style="7" bestFit="1" customWidth="1"/>
    <col min="8" max="8" width="11.28515625" bestFit="1" customWidth="1"/>
    <col min="9" max="9" width="12" style="7" customWidth="1"/>
    <col min="10" max="10" width="8.42578125" customWidth="1"/>
    <col min="11" max="11" width="11.7109375" bestFit="1" customWidth="1"/>
  </cols>
  <sheetData>
    <row r="1" spans="1:10" ht="15.75" x14ac:dyDescent="0.25">
      <c r="D1" s="31" t="s">
        <v>74</v>
      </c>
    </row>
    <row r="3" spans="1:10" ht="15.75" x14ac:dyDescent="0.25">
      <c r="D3" s="31" t="s">
        <v>86</v>
      </c>
    </row>
    <row r="6" spans="1:10" x14ac:dyDescent="0.2">
      <c r="B6" s="1" t="s">
        <v>57</v>
      </c>
      <c r="C6" t="s">
        <v>58</v>
      </c>
      <c r="D6" s="8" t="s">
        <v>59</v>
      </c>
      <c r="E6" s="1" t="s">
        <v>60</v>
      </c>
      <c r="F6" s="1" t="s">
        <v>61</v>
      </c>
      <c r="G6" s="8" t="s">
        <v>62</v>
      </c>
      <c r="H6" s="1" t="s">
        <v>62</v>
      </c>
      <c r="I6" s="8" t="s">
        <v>63</v>
      </c>
      <c r="J6" s="16">
        <v>0.25</v>
      </c>
    </row>
    <row r="7" spans="1:10" x14ac:dyDescent="0.2">
      <c r="B7" s="1"/>
      <c r="D7" s="8"/>
      <c r="E7" s="1" t="s">
        <v>64</v>
      </c>
      <c r="F7" s="1" t="s">
        <v>65</v>
      </c>
      <c r="G7" s="8" t="s">
        <v>66</v>
      </c>
      <c r="H7" s="1" t="s">
        <v>67</v>
      </c>
      <c r="I7" s="8" t="s">
        <v>67</v>
      </c>
      <c r="J7" s="17" t="s">
        <v>65</v>
      </c>
    </row>
    <row r="8" spans="1:10" x14ac:dyDescent="0.2">
      <c r="A8" s="11" t="s">
        <v>0</v>
      </c>
      <c r="J8" s="17" t="s">
        <v>75</v>
      </c>
    </row>
    <row r="9" spans="1:10" x14ac:dyDescent="0.2">
      <c r="A9" s="11" t="s">
        <v>1</v>
      </c>
      <c r="B9" s="13">
        <v>0</v>
      </c>
      <c r="C9" s="13">
        <v>0</v>
      </c>
      <c r="D9" s="13">
        <v>143441.10999999999</v>
      </c>
      <c r="E9" s="14">
        <f>+B9+C9+D9</f>
        <v>143441.10999999999</v>
      </c>
      <c r="F9" s="14">
        <f>I9/12</f>
        <v>148333.33333333334</v>
      </c>
      <c r="G9" s="13">
        <v>427155.42</v>
      </c>
      <c r="H9" s="14">
        <f>F9*3</f>
        <v>445000</v>
      </c>
      <c r="I9" s="13">
        <v>1780000</v>
      </c>
      <c r="J9" s="32">
        <f>+G9/I9</f>
        <v>0.23997495505617977</v>
      </c>
    </row>
    <row r="10" spans="1:10" x14ac:dyDescent="0.2">
      <c r="A10" s="11" t="s">
        <v>2</v>
      </c>
      <c r="B10" s="13">
        <v>0</v>
      </c>
      <c r="C10" s="13">
        <v>794.22</v>
      </c>
      <c r="D10" s="13">
        <v>6156.65</v>
      </c>
      <c r="E10" s="14">
        <f t="shared" ref="E10:E20" si="0">+B10+C10+D10</f>
        <v>6950.87</v>
      </c>
      <c r="F10" s="14">
        <f t="shared" ref="F10:F20" si="1">I10/12</f>
        <v>6083.333333333333</v>
      </c>
      <c r="G10" s="13">
        <v>19971.66</v>
      </c>
      <c r="H10" s="14">
        <f t="shared" ref="H10:H20" si="2">F10*3</f>
        <v>18250</v>
      </c>
      <c r="I10" s="13">
        <v>73000</v>
      </c>
      <c r="J10" s="32">
        <f t="shared" ref="J10:J21" si="3">+G10/I10</f>
        <v>0.27358438356164383</v>
      </c>
    </row>
    <row r="11" spans="1:10" x14ac:dyDescent="0.2">
      <c r="A11" s="11" t="s">
        <v>71</v>
      </c>
      <c r="B11" s="13">
        <v>0</v>
      </c>
      <c r="C11" s="13">
        <v>0</v>
      </c>
      <c r="D11" s="13">
        <v>0</v>
      </c>
      <c r="E11" s="14">
        <f t="shared" si="0"/>
        <v>0</v>
      </c>
      <c r="F11" s="14">
        <f t="shared" si="1"/>
        <v>1250</v>
      </c>
      <c r="G11" s="13">
        <f t="shared" ref="G11" si="4">E11</f>
        <v>0</v>
      </c>
      <c r="H11" s="14">
        <f t="shared" si="2"/>
        <v>3750</v>
      </c>
      <c r="I11" s="13">
        <v>15000</v>
      </c>
      <c r="J11" s="32">
        <f t="shared" si="3"/>
        <v>0</v>
      </c>
    </row>
    <row r="12" spans="1:10" x14ac:dyDescent="0.2">
      <c r="A12" s="11" t="s">
        <v>3</v>
      </c>
      <c r="B12" s="13">
        <v>0</v>
      </c>
      <c r="C12" s="13">
        <v>0</v>
      </c>
      <c r="D12" s="13">
        <v>960.69</v>
      </c>
      <c r="E12" s="14">
        <f t="shared" si="0"/>
        <v>960.69</v>
      </c>
      <c r="F12" s="14">
        <f t="shared" si="1"/>
        <v>3333.3333333333335</v>
      </c>
      <c r="G12" s="13">
        <v>6498.3</v>
      </c>
      <c r="H12" s="14">
        <f t="shared" si="2"/>
        <v>10000</v>
      </c>
      <c r="I12" s="13">
        <v>40000</v>
      </c>
      <c r="J12" s="32">
        <f t="shared" si="3"/>
        <v>0.1624575</v>
      </c>
    </row>
    <row r="13" spans="1:10" x14ac:dyDescent="0.2">
      <c r="A13" s="11" t="s">
        <v>4</v>
      </c>
      <c r="B13" s="13">
        <v>0</v>
      </c>
      <c r="C13" s="13">
        <v>0</v>
      </c>
      <c r="D13" s="13">
        <v>9721.2999999999993</v>
      </c>
      <c r="E13" s="14">
        <f t="shared" si="0"/>
        <v>9721.2999999999993</v>
      </c>
      <c r="F13" s="14">
        <f t="shared" si="1"/>
        <v>8333.3333333333339</v>
      </c>
      <c r="G13" s="13">
        <v>78755.39</v>
      </c>
      <c r="H13" s="14">
        <f t="shared" si="2"/>
        <v>25000</v>
      </c>
      <c r="I13" s="13">
        <v>100000</v>
      </c>
      <c r="J13" s="32">
        <f t="shared" si="3"/>
        <v>0.78755390000000003</v>
      </c>
    </row>
    <row r="14" spans="1:10" x14ac:dyDescent="0.2">
      <c r="A14" s="11" t="s">
        <v>5</v>
      </c>
      <c r="B14" s="13">
        <v>0</v>
      </c>
      <c r="C14" s="13">
        <v>108686.65</v>
      </c>
      <c r="D14" s="13">
        <v>0</v>
      </c>
      <c r="E14" s="14">
        <f t="shared" si="0"/>
        <v>108686.65</v>
      </c>
      <c r="F14" s="14">
        <f t="shared" si="1"/>
        <v>121666.66666666667</v>
      </c>
      <c r="G14" s="13">
        <v>328069.67</v>
      </c>
      <c r="H14" s="14">
        <f t="shared" si="2"/>
        <v>365000</v>
      </c>
      <c r="I14" s="13">
        <v>1460000</v>
      </c>
      <c r="J14" s="32">
        <f t="shared" si="3"/>
        <v>0.22470525342465753</v>
      </c>
    </row>
    <row r="15" spans="1:10" x14ac:dyDescent="0.2">
      <c r="A15" s="11" t="s">
        <v>6</v>
      </c>
      <c r="B15" s="13">
        <v>0</v>
      </c>
      <c r="C15" s="13">
        <v>695.38</v>
      </c>
      <c r="D15" s="13">
        <v>0</v>
      </c>
      <c r="E15" s="14">
        <f t="shared" si="0"/>
        <v>695.38</v>
      </c>
      <c r="F15" s="14">
        <f t="shared" si="1"/>
        <v>916.66666666666663</v>
      </c>
      <c r="G15" s="13">
        <v>2033.68</v>
      </c>
      <c r="H15" s="14">
        <f t="shared" si="2"/>
        <v>2750</v>
      </c>
      <c r="I15" s="13">
        <v>11000</v>
      </c>
      <c r="J15" s="32">
        <f t="shared" si="3"/>
        <v>0.18488000000000002</v>
      </c>
    </row>
    <row r="16" spans="1:10" x14ac:dyDescent="0.2">
      <c r="A16" s="11" t="s">
        <v>7</v>
      </c>
      <c r="B16" s="13">
        <v>0</v>
      </c>
      <c r="C16" s="13">
        <v>21429.07</v>
      </c>
      <c r="D16" s="13">
        <v>0</v>
      </c>
      <c r="E16" s="14">
        <f t="shared" si="0"/>
        <v>21429.07</v>
      </c>
      <c r="F16" s="14">
        <f t="shared" si="1"/>
        <v>15833.333333333334</v>
      </c>
      <c r="G16" s="13">
        <v>71003.009999999995</v>
      </c>
      <c r="H16" s="14">
        <f t="shared" si="2"/>
        <v>47500</v>
      </c>
      <c r="I16" s="13">
        <v>190000</v>
      </c>
      <c r="J16" s="32">
        <f t="shared" si="3"/>
        <v>0.37370005263157891</v>
      </c>
    </row>
    <row r="17" spans="1:11" x14ac:dyDescent="0.2">
      <c r="A17" s="11" t="s">
        <v>8</v>
      </c>
      <c r="B17" s="13">
        <v>0</v>
      </c>
      <c r="C17" s="13">
        <v>431.35</v>
      </c>
      <c r="D17" s="13">
        <v>0</v>
      </c>
      <c r="E17" s="14">
        <f t="shared" si="0"/>
        <v>431.35</v>
      </c>
      <c r="F17" s="14">
        <f t="shared" si="1"/>
        <v>625</v>
      </c>
      <c r="G17" s="13">
        <v>995.9</v>
      </c>
      <c r="H17" s="14">
        <f t="shared" si="2"/>
        <v>1875</v>
      </c>
      <c r="I17" s="13">
        <v>7500</v>
      </c>
      <c r="J17" s="32">
        <f t="shared" si="3"/>
        <v>0.13278666666666666</v>
      </c>
    </row>
    <row r="18" spans="1:11" x14ac:dyDescent="0.2">
      <c r="A18" s="11" t="s">
        <v>9</v>
      </c>
      <c r="B18" s="13">
        <v>0</v>
      </c>
      <c r="C18" s="13">
        <v>3261.42</v>
      </c>
      <c r="D18" s="13">
        <v>0</v>
      </c>
      <c r="E18" s="14">
        <f t="shared" si="0"/>
        <v>3261.42</v>
      </c>
      <c r="F18" s="14">
        <f t="shared" si="1"/>
        <v>4166.666666666667</v>
      </c>
      <c r="G18" s="13">
        <v>7969.51</v>
      </c>
      <c r="H18" s="14">
        <f t="shared" si="2"/>
        <v>12500</v>
      </c>
      <c r="I18" s="13">
        <v>50000</v>
      </c>
      <c r="J18" s="32">
        <f t="shared" si="3"/>
        <v>0.15939020000000001</v>
      </c>
    </row>
    <row r="19" spans="1:11" x14ac:dyDescent="0.2">
      <c r="A19" s="11" t="s">
        <v>10</v>
      </c>
      <c r="B19" s="13">
        <v>0</v>
      </c>
      <c r="C19" s="13">
        <v>47381.06</v>
      </c>
      <c r="D19" s="13">
        <v>0</v>
      </c>
      <c r="E19" s="14">
        <f t="shared" si="0"/>
        <v>47381.06</v>
      </c>
      <c r="F19" s="14">
        <f t="shared" si="1"/>
        <v>48666.666666666664</v>
      </c>
      <c r="G19" s="13">
        <v>147588.44</v>
      </c>
      <c r="H19" s="14">
        <f t="shared" si="2"/>
        <v>146000</v>
      </c>
      <c r="I19" s="13">
        <v>584000</v>
      </c>
      <c r="J19" s="32">
        <f t="shared" si="3"/>
        <v>0.25271993150684929</v>
      </c>
    </row>
    <row r="20" spans="1:11" x14ac:dyDescent="0.2">
      <c r="A20" s="11" t="s">
        <v>11</v>
      </c>
      <c r="B20" s="13">
        <v>0</v>
      </c>
      <c r="C20" s="13">
        <v>9540.86</v>
      </c>
      <c r="D20" s="13">
        <v>0</v>
      </c>
      <c r="E20" s="14">
        <f t="shared" si="0"/>
        <v>9540.86</v>
      </c>
      <c r="F20" s="14">
        <f t="shared" si="1"/>
        <v>4583.333333333333</v>
      </c>
      <c r="G20" s="13">
        <v>25463.85</v>
      </c>
      <c r="H20" s="14">
        <f t="shared" si="2"/>
        <v>13750</v>
      </c>
      <c r="I20" s="13">
        <v>55000</v>
      </c>
      <c r="J20" s="33">
        <f t="shared" si="3"/>
        <v>0.4629790909090909</v>
      </c>
    </row>
    <row r="21" spans="1:11" x14ac:dyDescent="0.2">
      <c r="A21" s="11" t="s">
        <v>12</v>
      </c>
      <c r="B21" s="35">
        <f t="shared" ref="B21:I21" si="5">SUM(B9:B20)</f>
        <v>0</v>
      </c>
      <c r="C21" s="35">
        <f t="shared" si="5"/>
        <v>192220.01</v>
      </c>
      <c r="D21" s="36">
        <f t="shared" si="5"/>
        <v>160279.74999999997</v>
      </c>
      <c r="E21" s="35">
        <f t="shared" si="5"/>
        <v>352499.75999999995</v>
      </c>
      <c r="F21" s="35">
        <f t="shared" si="5"/>
        <v>363791.66666666674</v>
      </c>
      <c r="G21" s="36">
        <f t="shared" si="5"/>
        <v>1115504.83</v>
      </c>
      <c r="H21" s="35">
        <f>SUM(H9:H20)</f>
        <v>1091375</v>
      </c>
      <c r="I21" s="36">
        <f t="shared" si="5"/>
        <v>4365500</v>
      </c>
      <c r="J21" s="40">
        <f t="shared" si="3"/>
        <v>0.25552739205131142</v>
      </c>
      <c r="K21" s="2"/>
    </row>
    <row r="22" spans="1:11" x14ac:dyDescent="0.2">
      <c r="A22" s="11"/>
    </row>
    <row r="23" spans="1:11" x14ac:dyDescent="0.2">
      <c r="A23" s="11" t="s">
        <v>13</v>
      </c>
      <c r="B23" s="1" t="s">
        <v>57</v>
      </c>
      <c r="C23" t="s">
        <v>58</v>
      </c>
      <c r="D23" s="8" t="s">
        <v>59</v>
      </c>
      <c r="E23" s="1" t="s">
        <v>60</v>
      </c>
      <c r="F23" s="1" t="s">
        <v>61</v>
      </c>
      <c r="G23" s="8" t="s">
        <v>62</v>
      </c>
      <c r="H23" s="1" t="s">
        <v>62</v>
      </c>
      <c r="I23" s="8" t="s">
        <v>63</v>
      </c>
      <c r="J23" s="16">
        <f>+J6</f>
        <v>0.25</v>
      </c>
    </row>
    <row r="24" spans="1:11" x14ac:dyDescent="0.2">
      <c r="A24" s="11"/>
      <c r="B24" s="1"/>
      <c r="D24" s="8"/>
      <c r="E24" s="1" t="s">
        <v>68</v>
      </c>
      <c r="F24" s="1" t="s">
        <v>65</v>
      </c>
      <c r="G24" s="8" t="s">
        <v>68</v>
      </c>
      <c r="H24" s="1" t="s">
        <v>67</v>
      </c>
      <c r="I24" s="8" t="s">
        <v>67</v>
      </c>
      <c r="J24" s="17" t="s">
        <v>65</v>
      </c>
    </row>
    <row r="25" spans="1:11" x14ac:dyDescent="0.2">
      <c r="A25" s="11"/>
      <c r="B25" s="1"/>
      <c r="D25" s="8"/>
      <c r="E25" s="1"/>
      <c r="F25" s="1"/>
      <c r="G25" s="8"/>
      <c r="H25" s="1"/>
      <c r="I25" s="8"/>
      <c r="J25" s="17" t="s">
        <v>75</v>
      </c>
    </row>
    <row r="26" spans="1:11" x14ac:dyDescent="0.2">
      <c r="A26" s="11" t="s">
        <v>14</v>
      </c>
      <c r="B26" s="13">
        <v>44291.24</v>
      </c>
      <c r="C26" s="13">
        <v>47364.27</v>
      </c>
      <c r="D26" s="13">
        <v>28994.799999999999</v>
      </c>
      <c r="E26" s="14">
        <f t="shared" ref="E26:E38" si="6">B26+C26+D26</f>
        <v>120650.31</v>
      </c>
      <c r="F26" s="14">
        <f t="shared" ref="F26:F38" si="7">I26/12</f>
        <v>84166.666666666672</v>
      </c>
      <c r="G26" s="13">
        <v>260343.07</v>
      </c>
      <c r="H26" s="14">
        <f t="shared" ref="H26:H38" si="8">F26*3</f>
        <v>252500</v>
      </c>
      <c r="I26" s="13">
        <v>1010000</v>
      </c>
      <c r="J26" s="34">
        <f t="shared" ref="J26:J38" si="9">+G26/I26</f>
        <v>0.25776541584158419</v>
      </c>
    </row>
    <row r="27" spans="1:11" x14ac:dyDescent="0.2">
      <c r="A27" s="11" t="s">
        <v>15</v>
      </c>
      <c r="B27" s="13">
        <v>3549.27</v>
      </c>
      <c r="C27" s="13">
        <v>4231.8999999999996</v>
      </c>
      <c r="D27" s="13">
        <v>2316.66</v>
      </c>
      <c r="E27" s="14">
        <f t="shared" si="6"/>
        <v>10097.83</v>
      </c>
      <c r="F27" s="14">
        <f t="shared" si="7"/>
        <v>6666.666666666667</v>
      </c>
      <c r="G27" s="13">
        <v>22015.85</v>
      </c>
      <c r="H27" s="14">
        <f t="shared" si="8"/>
        <v>20000</v>
      </c>
      <c r="I27" s="13">
        <v>80000</v>
      </c>
      <c r="J27" s="34">
        <f t="shared" si="9"/>
        <v>0.27519812499999996</v>
      </c>
    </row>
    <row r="28" spans="1:11" x14ac:dyDescent="0.2">
      <c r="A28" s="11" t="s">
        <v>16</v>
      </c>
      <c r="B28" s="13">
        <v>0</v>
      </c>
      <c r="C28" s="13">
        <v>0</v>
      </c>
      <c r="D28" s="13">
        <v>0</v>
      </c>
      <c r="E28" s="14">
        <f t="shared" si="6"/>
        <v>0</v>
      </c>
      <c r="F28" s="14">
        <f t="shared" si="7"/>
        <v>625</v>
      </c>
      <c r="G28" s="13">
        <f t="shared" ref="G28:G37" si="10">E28</f>
        <v>0</v>
      </c>
      <c r="H28" s="14">
        <f t="shared" si="8"/>
        <v>1875</v>
      </c>
      <c r="I28" s="13">
        <v>7500</v>
      </c>
      <c r="J28" s="34">
        <f t="shared" si="9"/>
        <v>0</v>
      </c>
    </row>
    <row r="29" spans="1:11" x14ac:dyDescent="0.2">
      <c r="A29" s="11" t="s">
        <v>17</v>
      </c>
      <c r="B29" s="13">
        <v>2439.1999999999998</v>
      </c>
      <c r="C29" s="13">
        <v>943.6</v>
      </c>
      <c r="D29" s="13">
        <v>1396</v>
      </c>
      <c r="E29" s="14">
        <f t="shared" si="6"/>
        <v>4778.7999999999993</v>
      </c>
      <c r="F29" s="14">
        <f t="shared" si="7"/>
        <v>3600</v>
      </c>
      <c r="G29" s="13">
        <v>12559.96</v>
      </c>
      <c r="H29" s="14">
        <f t="shared" si="8"/>
        <v>10800</v>
      </c>
      <c r="I29" s="13">
        <v>43200</v>
      </c>
      <c r="J29" s="34">
        <f t="shared" si="9"/>
        <v>0.29073981481481481</v>
      </c>
    </row>
    <row r="30" spans="1:11" x14ac:dyDescent="0.2">
      <c r="A30" s="11" t="s">
        <v>18</v>
      </c>
      <c r="B30" s="13">
        <v>0</v>
      </c>
      <c r="C30" s="13">
        <v>0</v>
      </c>
      <c r="D30" s="13">
        <v>84400.63</v>
      </c>
      <c r="E30" s="14">
        <f t="shared" si="6"/>
        <v>84400.63</v>
      </c>
      <c r="F30" s="14">
        <f t="shared" si="7"/>
        <v>8750</v>
      </c>
      <c r="G30" s="13">
        <v>105312.99</v>
      </c>
      <c r="H30" s="14">
        <f t="shared" si="8"/>
        <v>26250</v>
      </c>
      <c r="I30" s="13">
        <v>105000</v>
      </c>
      <c r="J30" s="34">
        <f t="shared" si="9"/>
        <v>1.0029808571428571</v>
      </c>
    </row>
    <row r="31" spans="1:11" x14ac:dyDescent="0.2">
      <c r="A31" s="11" t="s">
        <v>19</v>
      </c>
      <c r="B31" s="13">
        <v>0</v>
      </c>
      <c r="C31" s="13">
        <v>0</v>
      </c>
      <c r="D31" s="13">
        <v>0</v>
      </c>
      <c r="E31" s="14">
        <f t="shared" si="6"/>
        <v>0</v>
      </c>
      <c r="F31" s="14">
        <f t="shared" si="7"/>
        <v>833.33333333333337</v>
      </c>
      <c r="G31" s="13">
        <f t="shared" si="10"/>
        <v>0</v>
      </c>
      <c r="H31" s="14">
        <f t="shared" si="8"/>
        <v>2500</v>
      </c>
      <c r="I31" s="13">
        <f>10000</f>
        <v>10000</v>
      </c>
      <c r="J31" s="34">
        <f t="shared" si="9"/>
        <v>0</v>
      </c>
    </row>
    <row r="32" spans="1:11" x14ac:dyDescent="0.2">
      <c r="A32" s="11" t="s">
        <v>20</v>
      </c>
      <c r="B32" s="13">
        <v>0</v>
      </c>
      <c r="C32" s="13">
        <v>0</v>
      </c>
      <c r="D32" s="13">
        <v>0</v>
      </c>
      <c r="E32" s="14">
        <f t="shared" si="6"/>
        <v>0</v>
      </c>
      <c r="F32" s="14">
        <f t="shared" si="7"/>
        <v>2083.3333333333335</v>
      </c>
      <c r="G32" s="13">
        <v>14175</v>
      </c>
      <c r="H32" s="14">
        <f t="shared" si="8"/>
        <v>6250</v>
      </c>
      <c r="I32" s="13">
        <v>25000</v>
      </c>
      <c r="J32" s="34">
        <f t="shared" si="9"/>
        <v>0.56699999999999995</v>
      </c>
    </row>
    <row r="33" spans="1:19" x14ac:dyDescent="0.2">
      <c r="A33" s="11" t="s">
        <v>21</v>
      </c>
      <c r="B33" s="13">
        <v>0</v>
      </c>
      <c r="C33" s="13">
        <v>0</v>
      </c>
      <c r="D33" s="13">
        <v>0</v>
      </c>
      <c r="E33" s="14">
        <f t="shared" si="6"/>
        <v>0</v>
      </c>
      <c r="F33" s="14">
        <f t="shared" si="7"/>
        <v>1750</v>
      </c>
      <c r="G33" s="13">
        <v>3467.44</v>
      </c>
      <c r="H33" s="14">
        <f t="shared" si="8"/>
        <v>5250</v>
      </c>
      <c r="I33" s="13">
        <v>21000</v>
      </c>
      <c r="J33" s="34">
        <f t="shared" si="9"/>
        <v>0.16511619047619047</v>
      </c>
    </row>
    <row r="34" spans="1:19" x14ac:dyDescent="0.2">
      <c r="A34" s="11" t="s">
        <v>22</v>
      </c>
      <c r="B34" s="13">
        <v>0</v>
      </c>
      <c r="C34" s="13">
        <v>697.5</v>
      </c>
      <c r="D34" s="13">
        <v>662.58</v>
      </c>
      <c r="E34" s="14">
        <f t="shared" si="6"/>
        <v>1360.08</v>
      </c>
      <c r="F34" s="14">
        <f t="shared" si="7"/>
        <v>2666.6666666666665</v>
      </c>
      <c r="G34" s="13">
        <v>4432.2700000000004</v>
      </c>
      <c r="H34" s="14">
        <f t="shared" si="8"/>
        <v>8000</v>
      </c>
      <c r="I34" s="13">
        <v>32000</v>
      </c>
      <c r="J34" s="34">
        <f t="shared" si="9"/>
        <v>0.13850843750000003</v>
      </c>
    </row>
    <row r="35" spans="1:19" x14ac:dyDescent="0.2">
      <c r="A35" s="11" t="s">
        <v>23</v>
      </c>
      <c r="B35" s="13">
        <v>0</v>
      </c>
      <c r="C35" s="13">
        <v>4320.8999999999996</v>
      </c>
      <c r="D35" s="13">
        <v>4320.91</v>
      </c>
      <c r="E35" s="14">
        <f t="shared" si="6"/>
        <v>8641.81</v>
      </c>
      <c r="F35" s="14">
        <f t="shared" si="7"/>
        <v>10833.333333333334</v>
      </c>
      <c r="G35" s="13">
        <v>27353.62</v>
      </c>
      <c r="H35" s="14">
        <f t="shared" si="8"/>
        <v>32500</v>
      </c>
      <c r="I35" s="13">
        <v>130000</v>
      </c>
      <c r="J35" s="34">
        <f t="shared" si="9"/>
        <v>0.21041246153846152</v>
      </c>
    </row>
    <row r="36" spans="1:19" x14ac:dyDescent="0.2">
      <c r="A36" s="11" t="s">
        <v>24</v>
      </c>
      <c r="B36" s="13">
        <v>0</v>
      </c>
      <c r="C36" s="13">
        <v>0</v>
      </c>
      <c r="D36" s="13">
        <v>38.049999999999997</v>
      </c>
      <c r="E36" s="14">
        <f t="shared" si="6"/>
        <v>38.049999999999997</v>
      </c>
      <c r="F36" s="14">
        <f t="shared" si="7"/>
        <v>1666.6666666666667</v>
      </c>
      <c r="G36" s="13">
        <v>349.77</v>
      </c>
      <c r="H36" s="14">
        <f t="shared" si="8"/>
        <v>5000</v>
      </c>
      <c r="I36" s="13">
        <v>20000</v>
      </c>
      <c r="J36" s="34">
        <f t="shared" si="9"/>
        <v>1.7488500000000001E-2</v>
      </c>
    </row>
    <row r="37" spans="1:19" x14ac:dyDescent="0.2">
      <c r="A37" s="11" t="s">
        <v>25</v>
      </c>
      <c r="B37" s="13">
        <v>0</v>
      </c>
      <c r="C37" s="13">
        <v>0</v>
      </c>
      <c r="D37" s="13">
        <v>0</v>
      </c>
      <c r="E37" s="14">
        <f t="shared" si="6"/>
        <v>0</v>
      </c>
      <c r="F37" s="14">
        <f t="shared" si="7"/>
        <v>250</v>
      </c>
      <c r="G37" s="13">
        <f t="shared" si="10"/>
        <v>0</v>
      </c>
      <c r="H37" s="14">
        <f t="shared" si="8"/>
        <v>750</v>
      </c>
      <c r="I37" s="13">
        <f>1500+1500</f>
        <v>3000</v>
      </c>
      <c r="J37" s="34">
        <f t="shared" si="9"/>
        <v>0</v>
      </c>
    </row>
    <row r="38" spans="1:19" x14ac:dyDescent="0.2">
      <c r="A38" s="11" t="s">
        <v>26</v>
      </c>
      <c r="B38" s="13">
        <v>0</v>
      </c>
      <c r="C38" s="13">
        <v>8000</v>
      </c>
      <c r="D38" s="13">
        <v>3800</v>
      </c>
      <c r="E38" s="14">
        <f t="shared" si="6"/>
        <v>11800</v>
      </c>
      <c r="F38" s="14">
        <f t="shared" si="7"/>
        <v>30833.333333333332</v>
      </c>
      <c r="G38" s="13">
        <v>20255</v>
      </c>
      <c r="H38" s="14">
        <f t="shared" si="8"/>
        <v>92500</v>
      </c>
      <c r="I38" s="13">
        <v>370000</v>
      </c>
      <c r="J38" s="34">
        <f t="shared" si="9"/>
        <v>5.4743243243243242E-2</v>
      </c>
    </row>
    <row r="39" spans="1:19" x14ac:dyDescent="0.2">
      <c r="A39" s="11"/>
      <c r="B39" s="14"/>
      <c r="C39" s="13"/>
      <c r="D39" s="13"/>
      <c r="E39" s="14"/>
      <c r="F39" s="14"/>
      <c r="G39" s="13"/>
      <c r="H39" s="14"/>
      <c r="I39" s="13"/>
    </row>
    <row r="40" spans="1:19" x14ac:dyDescent="0.2">
      <c r="A40" s="11"/>
      <c r="B40" s="2"/>
      <c r="C40" s="6"/>
      <c r="D40" s="6"/>
      <c r="E40" s="2"/>
      <c r="F40" s="2"/>
      <c r="G40" s="6"/>
      <c r="H40" s="2"/>
      <c r="I40" s="6"/>
    </row>
    <row r="41" spans="1:19" x14ac:dyDescent="0.2">
      <c r="A41" s="11"/>
      <c r="B41" s="1"/>
      <c r="C41" s="7"/>
      <c r="D41" s="8"/>
      <c r="E41" s="1"/>
      <c r="F41" s="1"/>
      <c r="G41" s="8"/>
      <c r="H41" s="1"/>
      <c r="I41" s="8"/>
      <c r="K41" s="1"/>
      <c r="L41" s="1"/>
      <c r="N41" s="1"/>
      <c r="O41" s="1"/>
      <c r="P41" s="1"/>
      <c r="Q41" s="1"/>
      <c r="R41" s="1"/>
      <c r="S41" s="1"/>
    </row>
    <row r="42" spans="1:19" x14ac:dyDescent="0.2">
      <c r="A42" s="11"/>
      <c r="B42" s="2"/>
      <c r="C42" s="6"/>
      <c r="D42" s="6"/>
      <c r="E42" s="2"/>
      <c r="F42" s="2"/>
      <c r="G42" s="6"/>
      <c r="H42" s="2"/>
      <c r="I42" s="6"/>
      <c r="K42" s="1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1" t="s">
        <v>60</v>
      </c>
      <c r="F43" s="1" t="s">
        <v>61</v>
      </c>
      <c r="G43" s="8" t="s">
        <v>62</v>
      </c>
      <c r="H43" s="1" t="s">
        <v>62</v>
      </c>
      <c r="I43" s="8" t="s">
        <v>63</v>
      </c>
      <c r="J43" s="16">
        <f>+J6</f>
        <v>0.25</v>
      </c>
      <c r="K43" s="1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11"/>
      <c r="B44" s="1"/>
      <c r="C44" s="7"/>
      <c r="D44" s="8"/>
      <c r="E44" s="1" t="s">
        <v>68</v>
      </c>
      <c r="F44" s="1" t="s">
        <v>65</v>
      </c>
      <c r="G44" s="8" t="s">
        <v>68</v>
      </c>
      <c r="H44" s="1" t="s">
        <v>67</v>
      </c>
      <c r="I44" s="8" t="s">
        <v>67</v>
      </c>
      <c r="J44" s="17" t="s">
        <v>65</v>
      </c>
      <c r="K44" s="1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11"/>
      <c r="B45" s="1"/>
      <c r="C45" s="7"/>
      <c r="D45" s="8"/>
      <c r="E45" s="1"/>
      <c r="F45" s="1"/>
      <c r="G45" s="8"/>
      <c r="H45" s="1"/>
      <c r="I45" s="8"/>
      <c r="J45" s="17" t="s">
        <v>75</v>
      </c>
      <c r="K45" s="1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1" t="s">
        <v>27</v>
      </c>
      <c r="B46" s="6">
        <v>4721.59</v>
      </c>
      <c r="C46" s="6">
        <v>7736.26</v>
      </c>
      <c r="D46" s="6">
        <v>4364.32</v>
      </c>
      <c r="E46" s="2">
        <f t="shared" ref="E46:E72" si="11">B46+C46+D46</f>
        <v>16822.169999999998</v>
      </c>
      <c r="F46" s="2">
        <f t="shared" ref="F46:F48" si="12">I46/12</f>
        <v>16500</v>
      </c>
      <c r="G46" s="6">
        <v>51076.89</v>
      </c>
      <c r="H46" s="14">
        <f t="shared" ref="H46:H72" si="13">F46*3</f>
        <v>49500</v>
      </c>
      <c r="I46" s="6">
        <v>198000</v>
      </c>
      <c r="J46" s="34">
        <f t="shared" ref="J46:J73" si="14">+G46/I46</f>
        <v>0.25796409090909089</v>
      </c>
      <c r="K46" s="1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11" t="s">
        <v>28</v>
      </c>
      <c r="B47" s="13">
        <v>0</v>
      </c>
      <c r="C47" s="13">
        <v>0</v>
      </c>
      <c r="D47" s="13">
        <v>0</v>
      </c>
      <c r="E47" s="14">
        <f t="shared" si="11"/>
        <v>0</v>
      </c>
      <c r="F47" s="14">
        <f t="shared" si="12"/>
        <v>25520.833333333332</v>
      </c>
      <c r="G47" s="13">
        <v>290231</v>
      </c>
      <c r="H47" s="14">
        <f t="shared" si="13"/>
        <v>76562.5</v>
      </c>
      <c r="I47" s="13">
        <v>306250</v>
      </c>
      <c r="J47" s="34">
        <f t="shared" si="14"/>
        <v>0.94769306122448982</v>
      </c>
      <c r="K47" s="1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11" t="s">
        <v>29</v>
      </c>
      <c r="B48" s="13">
        <v>0</v>
      </c>
      <c r="C48" s="13">
        <v>0</v>
      </c>
      <c r="D48" s="13">
        <v>0</v>
      </c>
      <c r="E48" s="14">
        <f t="shared" si="11"/>
        <v>0</v>
      </c>
      <c r="F48" s="14">
        <f t="shared" si="12"/>
        <v>416.66666666666669</v>
      </c>
      <c r="G48" s="13">
        <v>248</v>
      </c>
      <c r="H48" s="14">
        <f t="shared" si="13"/>
        <v>1250</v>
      </c>
      <c r="I48" s="13">
        <f>2500+2500</f>
        <v>5000</v>
      </c>
      <c r="J48" s="34">
        <f t="shared" si="14"/>
        <v>4.9599999999999998E-2</v>
      </c>
      <c r="K48" s="1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11" t="s">
        <v>30</v>
      </c>
      <c r="B49" s="13">
        <v>0</v>
      </c>
      <c r="C49" s="13">
        <v>0</v>
      </c>
      <c r="D49" s="13">
        <v>0</v>
      </c>
      <c r="E49" s="14">
        <f t="shared" si="11"/>
        <v>0</v>
      </c>
      <c r="F49" s="14">
        <f>I49/12</f>
        <v>1333.3333333333333</v>
      </c>
      <c r="G49" s="13">
        <v>1108.24</v>
      </c>
      <c r="H49" s="14">
        <f t="shared" si="13"/>
        <v>4000</v>
      </c>
      <c r="I49" s="13">
        <f>8000+8000</f>
        <v>16000</v>
      </c>
      <c r="J49" s="34">
        <f t="shared" si="14"/>
        <v>6.9265000000000007E-2</v>
      </c>
      <c r="K49" s="1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11" t="s">
        <v>32</v>
      </c>
      <c r="B50" s="13">
        <v>0</v>
      </c>
      <c r="C50" s="13">
        <v>0</v>
      </c>
      <c r="D50" s="13">
        <v>0</v>
      </c>
      <c r="E50" s="14">
        <f t="shared" si="11"/>
        <v>0</v>
      </c>
      <c r="F50" s="14">
        <f t="shared" ref="F50:F72" si="15">I50/12</f>
        <v>6500</v>
      </c>
      <c r="G50" s="13">
        <v>0</v>
      </c>
      <c r="H50" s="14">
        <f t="shared" si="13"/>
        <v>19500</v>
      </c>
      <c r="I50" s="13">
        <v>78000</v>
      </c>
      <c r="J50" s="34">
        <f t="shared" si="14"/>
        <v>0</v>
      </c>
      <c r="K50" s="1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11" t="s">
        <v>33</v>
      </c>
      <c r="B51" s="13">
        <v>0</v>
      </c>
      <c r="C51" s="13">
        <v>0</v>
      </c>
      <c r="D51" s="13">
        <v>0</v>
      </c>
      <c r="E51" s="14">
        <f t="shared" si="11"/>
        <v>0</v>
      </c>
      <c r="F51" s="14">
        <f t="shared" si="15"/>
        <v>750</v>
      </c>
      <c r="G51" s="13">
        <v>1145.9100000000001</v>
      </c>
      <c r="H51" s="14">
        <f t="shared" si="13"/>
        <v>2250</v>
      </c>
      <c r="I51" s="13">
        <v>9000</v>
      </c>
      <c r="J51" s="34">
        <f t="shared" si="14"/>
        <v>0.12732333333333334</v>
      </c>
      <c r="K51" s="1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11" t="s">
        <v>34</v>
      </c>
      <c r="B52" s="13">
        <v>0</v>
      </c>
      <c r="C52" s="13">
        <v>127.76</v>
      </c>
      <c r="D52" s="13">
        <v>391.65</v>
      </c>
      <c r="E52" s="14">
        <f t="shared" si="11"/>
        <v>519.41</v>
      </c>
      <c r="F52" s="14">
        <f t="shared" si="15"/>
        <v>1250</v>
      </c>
      <c r="G52" s="13">
        <v>3646.98</v>
      </c>
      <c r="H52" s="14">
        <f t="shared" si="13"/>
        <v>3750</v>
      </c>
      <c r="I52" s="13">
        <v>15000</v>
      </c>
      <c r="J52" s="34">
        <f t="shared" si="14"/>
        <v>0.24313200000000001</v>
      </c>
      <c r="K52" s="1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1" t="s">
        <v>35</v>
      </c>
      <c r="B53" s="13">
        <v>0</v>
      </c>
      <c r="C53" s="13">
        <v>289.60000000000002</v>
      </c>
      <c r="D53" s="13">
        <v>493.8</v>
      </c>
      <c r="E53" s="14">
        <f t="shared" si="11"/>
        <v>783.40000000000009</v>
      </c>
      <c r="F53" s="14">
        <f t="shared" si="15"/>
        <v>13750</v>
      </c>
      <c r="G53" s="13">
        <v>21122.46</v>
      </c>
      <c r="H53" s="14">
        <f t="shared" si="13"/>
        <v>41250</v>
      </c>
      <c r="I53" s="13">
        <v>165000</v>
      </c>
      <c r="J53" s="34">
        <f t="shared" si="14"/>
        <v>0.1280149090909091</v>
      </c>
      <c r="K53" s="1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11" t="s">
        <v>36</v>
      </c>
      <c r="B54" s="13">
        <v>0</v>
      </c>
      <c r="C54" s="13">
        <v>86030.48</v>
      </c>
      <c r="D54" s="13">
        <v>0</v>
      </c>
      <c r="E54" s="14">
        <f t="shared" si="11"/>
        <v>86030.48</v>
      </c>
      <c r="F54" s="14">
        <f t="shared" si="15"/>
        <v>91666.666666666672</v>
      </c>
      <c r="G54" s="13">
        <v>241698.5</v>
      </c>
      <c r="H54" s="14">
        <f t="shared" si="13"/>
        <v>275000</v>
      </c>
      <c r="I54" s="13">
        <v>1100000</v>
      </c>
      <c r="J54" s="34">
        <f t="shared" si="14"/>
        <v>0.21972590909090908</v>
      </c>
      <c r="K54" s="1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11" t="s">
        <v>37</v>
      </c>
      <c r="B55" s="13">
        <v>0</v>
      </c>
      <c r="C55" s="13">
        <v>0</v>
      </c>
      <c r="D55" s="13">
        <v>0</v>
      </c>
      <c r="E55" s="14">
        <f t="shared" si="11"/>
        <v>0</v>
      </c>
      <c r="F55" s="14">
        <f t="shared" si="15"/>
        <v>875</v>
      </c>
      <c r="G55" s="13">
        <v>763.74</v>
      </c>
      <c r="H55" s="14">
        <f t="shared" si="13"/>
        <v>2625</v>
      </c>
      <c r="I55" s="13">
        <v>10500</v>
      </c>
      <c r="J55" s="34">
        <f t="shared" si="14"/>
        <v>7.2737142857142861E-2</v>
      </c>
      <c r="K55" s="1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11" t="s">
        <v>38</v>
      </c>
      <c r="B56" s="13">
        <v>0</v>
      </c>
      <c r="C56" s="13">
        <v>7645.75</v>
      </c>
      <c r="D56" s="13">
        <v>0</v>
      </c>
      <c r="E56" s="14">
        <f t="shared" si="11"/>
        <v>7645.75</v>
      </c>
      <c r="F56" s="14">
        <f t="shared" si="15"/>
        <v>3333.3333333333335</v>
      </c>
      <c r="G56" s="13">
        <v>17704.75</v>
      </c>
      <c r="H56" s="14">
        <f t="shared" si="13"/>
        <v>10000</v>
      </c>
      <c r="I56" s="13">
        <v>40000</v>
      </c>
      <c r="J56" s="34">
        <f t="shared" si="14"/>
        <v>0.44261875000000001</v>
      </c>
      <c r="K56" s="1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11" t="s">
        <v>39</v>
      </c>
      <c r="B57" s="13">
        <v>0</v>
      </c>
      <c r="C57" s="13">
        <v>0</v>
      </c>
      <c r="D57" s="13">
        <v>0</v>
      </c>
      <c r="E57" s="14">
        <f t="shared" si="11"/>
        <v>0</v>
      </c>
      <c r="F57" s="14">
        <f t="shared" si="15"/>
        <v>625</v>
      </c>
      <c r="G57" s="13">
        <v>270.27999999999997</v>
      </c>
      <c r="H57" s="14">
        <f t="shared" si="13"/>
        <v>1875</v>
      </c>
      <c r="I57" s="13">
        <v>7500</v>
      </c>
      <c r="J57" s="34">
        <f t="shared" si="14"/>
        <v>3.6037333333333331E-2</v>
      </c>
      <c r="K57" s="1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11" t="s">
        <v>40</v>
      </c>
      <c r="B58" s="13">
        <v>485.14</v>
      </c>
      <c r="C58" s="13">
        <v>326.35000000000002</v>
      </c>
      <c r="D58" s="13">
        <v>0</v>
      </c>
      <c r="E58" s="14">
        <f t="shared" si="11"/>
        <v>811.49</v>
      </c>
      <c r="F58" s="14">
        <f t="shared" si="15"/>
        <v>875</v>
      </c>
      <c r="G58" s="13">
        <v>2005.99</v>
      </c>
      <c r="H58" s="14">
        <f t="shared" si="13"/>
        <v>2625</v>
      </c>
      <c r="I58" s="13">
        <v>10500</v>
      </c>
      <c r="J58" s="34">
        <f t="shared" si="14"/>
        <v>0.19104666666666667</v>
      </c>
      <c r="K58" s="1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11" t="s">
        <v>41</v>
      </c>
      <c r="B59" s="13">
        <v>8470.98</v>
      </c>
      <c r="C59" s="13">
        <v>425.66</v>
      </c>
      <c r="D59" s="13">
        <v>44.82</v>
      </c>
      <c r="E59" s="14">
        <f t="shared" si="11"/>
        <v>8941.4599999999991</v>
      </c>
      <c r="F59" s="14">
        <f t="shared" si="15"/>
        <v>2500</v>
      </c>
      <c r="G59" s="13">
        <v>18124.23</v>
      </c>
      <c r="H59" s="14">
        <f t="shared" si="13"/>
        <v>7500</v>
      </c>
      <c r="I59" s="13">
        <v>30000</v>
      </c>
      <c r="J59" s="34">
        <f t="shared" si="14"/>
        <v>0.60414100000000004</v>
      </c>
      <c r="K59" s="1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11" t="s">
        <v>42</v>
      </c>
      <c r="B60" s="13">
        <v>0</v>
      </c>
      <c r="C60" s="13">
        <v>13173.27</v>
      </c>
      <c r="D60" s="13">
        <v>0</v>
      </c>
      <c r="E60" s="14">
        <f t="shared" si="11"/>
        <v>13173.27</v>
      </c>
      <c r="F60" s="14">
        <f t="shared" si="15"/>
        <v>13333.333333333334</v>
      </c>
      <c r="G60" s="13">
        <v>17236.77</v>
      </c>
      <c r="H60" s="14">
        <f t="shared" si="13"/>
        <v>40000</v>
      </c>
      <c r="I60" s="13">
        <v>160000</v>
      </c>
      <c r="J60" s="34">
        <f t="shared" si="14"/>
        <v>0.10772981250000001</v>
      </c>
      <c r="K60" s="1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11" t="s">
        <v>43</v>
      </c>
      <c r="B61" s="13">
        <v>0</v>
      </c>
      <c r="C61" s="13">
        <v>3699.47</v>
      </c>
      <c r="D61" s="13">
        <v>0</v>
      </c>
      <c r="E61" s="14">
        <f t="shared" si="11"/>
        <v>3699.47</v>
      </c>
      <c r="F61" s="14">
        <f t="shared" si="15"/>
        <v>3333.3333333333335</v>
      </c>
      <c r="G61" s="13">
        <v>12910.39</v>
      </c>
      <c r="H61" s="14">
        <f t="shared" si="13"/>
        <v>10000</v>
      </c>
      <c r="I61" s="13">
        <v>40000</v>
      </c>
      <c r="J61" s="34">
        <f t="shared" si="14"/>
        <v>0.32275975000000001</v>
      </c>
      <c r="K61" s="1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11" t="s">
        <v>44</v>
      </c>
      <c r="B62" s="13">
        <v>0</v>
      </c>
      <c r="C62" s="13">
        <v>0</v>
      </c>
      <c r="D62" s="13">
        <v>0</v>
      </c>
      <c r="E62" s="14">
        <f t="shared" si="11"/>
        <v>0</v>
      </c>
      <c r="F62" s="14">
        <f t="shared" si="15"/>
        <v>1583.3333333333333</v>
      </c>
      <c r="G62" s="13">
        <v>22802</v>
      </c>
      <c r="H62" s="14">
        <f t="shared" si="13"/>
        <v>4750</v>
      </c>
      <c r="I62" s="13">
        <v>19000</v>
      </c>
      <c r="J62" s="34">
        <f t="shared" si="14"/>
        <v>1.2001052631578948</v>
      </c>
      <c r="K62" s="1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11" t="s">
        <v>45</v>
      </c>
      <c r="B63" s="13">
        <v>0</v>
      </c>
      <c r="C63" s="13">
        <v>4458.04</v>
      </c>
      <c r="D63" s="13">
        <v>0</v>
      </c>
      <c r="E63" s="14">
        <f t="shared" si="11"/>
        <v>4458.04</v>
      </c>
      <c r="F63" s="14">
        <f t="shared" si="15"/>
        <v>1416.6666666666667</v>
      </c>
      <c r="G63" s="13">
        <v>7910.06</v>
      </c>
      <c r="H63" s="14">
        <f t="shared" si="13"/>
        <v>4250</v>
      </c>
      <c r="I63" s="13">
        <v>17000</v>
      </c>
      <c r="J63" s="34">
        <f t="shared" si="14"/>
        <v>0.46529764705882354</v>
      </c>
      <c r="K63" s="1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11" t="s">
        <v>46</v>
      </c>
      <c r="B64" s="13">
        <v>7826.05</v>
      </c>
      <c r="C64" s="13">
        <v>0</v>
      </c>
      <c r="D64" s="13">
        <v>0</v>
      </c>
      <c r="E64" s="14">
        <f t="shared" si="11"/>
        <v>7826.05</v>
      </c>
      <c r="F64" s="14">
        <f t="shared" si="15"/>
        <v>1666.6666666666667</v>
      </c>
      <c r="G64" s="13">
        <f t="shared" ref="G64:G72" si="16">E64</f>
        <v>7826.05</v>
      </c>
      <c r="H64" s="14">
        <f t="shared" si="13"/>
        <v>5000</v>
      </c>
      <c r="I64" s="13">
        <v>20000</v>
      </c>
      <c r="J64" s="34">
        <f t="shared" si="14"/>
        <v>0.3913025</v>
      </c>
      <c r="K64" s="1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1" t="s">
        <v>47</v>
      </c>
      <c r="B65" s="13">
        <v>11700.99</v>
      </c>
      <c r="C65" s="13">
        <v>0</v>
      </c>
      <c r="D65" s="13">
        <v>0</v>
      </c>
      <c r="E65" s="14">
        <f t="shared" si="11"/>
        <v>11700.99</v>
      </c>
      <c r="F65" s="14">
        <f t="shared" si="15"/>
        <v>12541.666666666666</v>
      </c>
      <c r="G65" s="13">
        <v>34481.74</v>
      </c>
      <c r="H65" s="14">
        <f t="shared" si="13"/>
        <v>37625</v>
      </c>
      <c r="I65" s="13">
        <v>150500</v>
      </c>
      <c r="J65" s="34">
        <f t="shared" si="14"/>
        <v>0.22911455149501661</v>
      </c>
      <c r="K65" s="1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11" t="s">
        <v>48</v>
      </c>
      <c r="B66" s="13">
        <v>0</v>
      </c>
      <c r="C66" s="13">
        <v>0</v>
      </c>
      <c r="D66" s="13">
        <v>0</v>
      </c>
      <c r="E66" s="14">
        <f t="shared" si="11"/>
        <v>0</v>
      </c>
      <c r="F66" s="14">
        <f t="shared" si="15"/>
        <v>83.333333333333329</v>
      </c>
      <c r="G66" s="13">
        <f t="shared" si="16"/>
        <v>0</v>
      </c>
      <c r="H66" s="14">
        <f t="shared" si="13"/>
        <v>250</v>
      </c>
      <c r="I66" s="13">
        <v>1000</v>
      </c>
      <c r="J66" s="34">
        <f t="shared" si="14"/>
        <v>0</v>
      </c>
      <c r="K66" s="1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11" t="s">
        <v>49</v>
      </c>
      <c r="B67" s="13">
        <v>0</v>
      </c>
      <c r="C67" s="13">
        <v>0</v>
      </c>
      <c r="D67" s="13">
        <v>0</v>
      </c>
      <c r="E67" s="14">
        <f t="shared" si="11"/>
        <v>0</v>
      </c>
      <c r="F67" s="14">
        <f t="shared" si="15"/>
        <v>208.33333333333334</v>
      </c>
      <c r="G67" s="13">
        <v>342.75</v>
      </c>
      <c r="H67" s="14">
        <f t="shared" si="13"/>
        <v>625</v>
      </c>
      <c r="I67" s="13">
        <v>2500</v>
      </c>
      <c r="J67" s="34">
        <f t="shared" si="14"/>
        <v>0.1371</v>
      </c>
      <c r="K67" s="1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11" t="s">
        <v>50</v>
      </c>
      <c r="B68" s="13">
        <v>7600</v>
      </c>
      <c r="C68" s="13">
        <v>0</v>
      </c>
      <c r="D68" s="13">
        <v>0</v>
      </c>
      <c r="E68" s="14">
        <f t="shared" si="11"/>
        <v>7600</v>
      </c>
      <c r="F68" s="14">
        <f t="shared" si="15"/>
        <v>2500</v>
      </c>
      <c r="G68" s="13">
        <v>11837.5</v>
      </c>
      <c r="H68" s="14">
        <f t="shared" si="13"/>
        <v>7500</v>
      </c>
      <c r="I68" s="13">
        <v>30000</v>
      </c>
      <c r="J68" s="34">
        <f t="shared" si="14"/>
        <v>0.39458333333333334</v>
      </c>
      <c r="K68" s="1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11" t="s">
        <v>52</v>
      </c>
      <c r="B69" s="13">
        <v>0</v>
      </c>
      <c r="C69" s="13">
        <v>3882.96</v>
      </c>
      <c r="D69" s="13">
        <v>0</v>
      </c>
      <c r="E69" s="14">
        <f t="shared" si="11"/>
        <v>3882.96</v>
      </c>
      <c r="F69" s="14">
        <f t="shared" si="15"/>
        <v>4000</v>
      </c>
      <c r="G69" s="13">
        <v>11081.23</v>
      </c>
      <c r="H69" s="14">
        <f t="shared" si="13"/>
        <v>12000</v>
      </c>
      <c r="I69" s="13">
        <v>48000</v>
      </c>
      <c r="J69" s="34">
        <f t="shared" si="14"/>
        <v>0.23085895833333334</v>
      </c>
      <c r="K69" s="1"/>
      <c r="L69" s="2"/>
      <c r="M69" s="2"/>
      <c r="N69" s="2"/>
      <c r="O69" s="3"/>
      <c r="Q69" s="3"/>
    </row>
    <row r="70" spans="1:19" x14ac:dyDescent="0.2">
      <c r="A70" s="11" t="s">
        <v>53</v>
      </c>
      <c r="B70" s="13">
        <v>0</v>
      </c>
      <c r="C70" s="13">
        <v>1662.22</v>
      </c>
      <c r="D70" s="13">
        <v>0</v>
      </c>
      <c r="E70" s="14">
        <f t="shared" si="11"/>
        <v>1662.22</v>
      </c>
      <c r="F70" s="14">
        <f t="shared" si="15"/>
        <v>833.33333333333337</v>
      </c>
      <c r="G70" s="13">
        <v>2755.45</v>
      </c>
      <c r="H70" s="14">
        <f t="shared" si="13"/>
        <v>2500</v>
      </c>
      <c r="I70" s="13">
        <v>10000</v>
      </c>
      <c r="J70" s="34">
        <f t="shared" si="14"/>
        <v>0.27554499999999998</v>
      </c>
    </row>
    <row r="71" spans="1:19" x14ac:dyDescent="0.2">
      <c r="A71" s="11" t="s">
        <v>54</v>
      </c>
      <c r="B71" s="13">
        <v>0</v>
      </c>
      <c r="C71" s="13">
        <v>0</v>
      </c>
      <c r="D71" s="13">
        <v>0</v>
      </c>
      <c r="E71" s="14">
        <f t="shared" si="11"/>
        <v>0</v>
      </c>
      <c r="F71" s="14">
        <f t="shared" si="15"/>
        <v>4.166666666666667</v>
      </c>
      <c r="G71" s="13">
        <f t="shared" si="16"/>
        <v>0</v>
      </c>
      <c r="H71" s="14">
        <f t="shared" si="13"/>
        <v>12.5</v>
      </c>
      <c r="I71" s="13">
        <v>50</v>
      </c>
      <c r="J71" s="34">
        <f t="shared" si="14"/>
        <v>0</v>
      </c>
    </row>
    <row r="72" spans="1:19" x14ac:dyDescent="0.2">
      <c r="A72" s="11" t="s">
        <v>72</v>
      </c>
      <c r="B72" s="13">
        <v>0</v>
      </c>
      <c r="C72" s="13">
        <v>0</v>
      </c>
      <c r="D72" s="13">
        <v>0</v>
      </c>
      <c r="E72" s="14">
        <f t="shared" si="11"/>
        <v>0</v>
      </c>
      <c r="F72" s="14">
        <f t="shared" si="15"/>
        <v>1666.6666666666667</v>
      </c>
      <c r="G72" s="13">
        <f t="shared" si="16"/>
        <v>0</v>
      </c>
      <c r="H72" s="14">
        <f t="shared" si="13"/>
        <v>5000</v>
      </c>
      <c r="I72" s="13">
        <v>20000</v>
      </c>
      <c r="J72" s="33">
        <f t="shared" si="14"/>
        <v>0</v>
      </c>
    </row>
    <row r="73" spans="1:19" x14ac:dyDescent="0.2">
      <c r="A73" s="11" t="s">
        <v>55</v>
      </c>
      <c r="B73" s="35">
        <f t="shared" ref="B73:H73" si="17">SUM(B26:B72)</f>
        <v>91084.459999999992</v>
      </c>
      <c r="C73" s="35">
        <f t="shared" si="17"/>
        <v>195015.99</v>
      </c>
      <c r="D73" s="36">
        <f t="shared" si="17"/>
        <v>131224.22</v>
      </c>
      <c r="E73" s="35">
        <f t="shared" si="17"/>
        <v>417324.66999999993</v>
      </c>
      <c r="F73" s="35">
        <f t="shared" si="17"/>
        <v>363791.66666666663</v>
      </c>
      <c r="G73" s="36">
        <f t="shared" si="17"/>
        <v>1248595.8800000001</v>
      </c>
      <c r="H73" s="35">
        <f t="shared" si="17"/>
        <v>1091375</v>
      </c>
      <c r="I73" s="36">
        <f>SUM(I46:I72)+SUM(I26:I38)</f>
        <v>4365500</v>
      </c>
      <c r="J73" s="37">
        <f t="shared" si="14"/>
        <v>0.28601440384835647</v>
      </c>
    </row>
    <row r="74" spans="1:19" x14ac:dyDescent="0.2">
      <c r="B74" s="14"/>
      <c r="C74" s="14" t="s">
        <v>69</v>
      </c>
      <c r="D74" s="13"/>
      <c r="E74" s="14"/>
      <c r="F74" s="14"/>
      <c r="G74" s="13"/>
      <c r="H74" s="14"/>
      <c r="I74" s="13"/>
    </row>
    <row r="75" spans="1:19" ht="13.5" thickBot="1" x14ac:dyDescent="0.25">
      <c r="A75" s="11" t="s">
        <v>56</v>
      </c>
      <c r="B75" s="38">
        <f t="shared" ref="B75:G75" si="18">B21-B73</f>
        <v>-91084.459999999992</v>
      </c>
      <c r="C75" s="38">
        <f t="shared" si="18"/>
        <v>-2795.9799999999814</v>
      </c>
      <c r="D75" s="39">
        <f t="shared" si="18"/>
        <v>29055.52999999997</v>
      </c>
      <c r="E75" s="38">
        <f t="shared" si="18"/>
        <v>-64824.909999999974</v>
      </c>
      <c r="F75" s="38">
        <f t="shared" si="18"/>
        <v>0</v>
      </c>
      <c r="G75" s="39">
        <f t="shared" si="18"/>
        <v>-133091.05000000005</v>
      </c>
      <c r="H75" s="10"/>
      <c r="I75" s="12"/>
    </row>
    <row r="76" spans="1:19" ht="13.5" thickTop="1" x14ac:dyDescent="0.2"/>
  </sheetData>
  <pageMargins left="0.7" right="0.7" top="0.75" bottom="0.75" header="0.3" footer="0.3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EBA4-C36F-406C-946B-463825E592BB}">
  <dimension ref="A1:T76"/>
  <sheetViews>
    <sheetView topLeftCell="A16" workbookViewId="0">
      <selection activeCell="P23" sqref="P23"/>
    </sheetView>
  </sheetViews>
  <sheetFormatPr defaultRowHeight="12.75" x14ac:dyDescent="0.2"/>
  <cols>
    <col min="1" max="1" width="21.7109375" style="10" customWidth="1"/>
    <col min="2" max="2" width="9.7109375" bestFit="1" customWidth="1"/>
    <col min="3" max="3" width="9.85546875" bestFit="1" customWidth="1"/>
    <col min="4" max="4" width="11.140625" style="7" customWidth="1"/>
    <col min="5" max="5" width="8.85546875" style="7" bestFit="1" customWidth="1"/>
    <col min="6" max="6" width="10.140625" bestFit="1" customWidth="1"/>
    <col min="7" max="7" width="10.5703125" customWidth="1"/>
    <col min="8" max="8" width="11.28515625" style="7" bestFit="1" customWidth="1"/>
    <col min="9" max="9" width="11.28515625" bestFit="1" customWidth="1"/>
    <col min="10" max="10" width="12" style="7" customWidth="1"/>
    <col min="11" max="11" width="8.42578125" customWidth="1"/>
    <col min="12" max="12" width="11.7109375" bestFit="1" customWidth="1"/>
  </cols>
  <sheetData>
    <row r="1" spans="1:11" ht="15.75" x14ac:dyDescent="0.25">
      <c r="D1" s="31" t="s">
        <v>74</v>
      </c>
      <c r="E1" s="31"/>
    </row>
    <row r="3" spans="1:11" ht="15.75" x14ac:dyDescent="0.25">
      <c r="D3" s="31" t="s">
        <v>86</v>
      </c>
      <c r="E3" s="31"/>
    </row>
    <row r="6" spans="1:11" x14ac:dyDescent="0.2">
      <c r="B6" s="1" t="s">
        <v>57</v>
      </c>
      <c r="C6" t="s">
        <v>58</v>
      </c>
      <c r="D6" s="8" t="s">
        <v>59</v>
      </c>
      <c r="E6" s="41" t="s">
        <v>87</v>
      </c>
      <c r="F6" s="1" t="s">
        <v>60</v>
      </c>
      <c r="G6" s="1" t="s">
        <v>61</v>
      </c>
      <c r="H6" s="8" t="s">
        <v>62</v>
      </c>
      <c r="I6" s="1" t="s">
        <v>62</v>
      </c>
      <c r="J6" s="8" t="s">
        <v>63</v>
      </c>
      <c r="K6" s="16">
        <v>0.25</v>
      </c>
    </row>
    <row r="7" spans="1:11" x14ac:dyDescent="0.2">
      <c r="B7" s="1"/>
      <c r="D7" s="8"/>
      <c r="E7" s="41" t="s">
        <v>88</v>
      </c>
      <c r="F7" s="1" t="s">
        <v>64</v>
      </c>
      <c r="G7" s="1" t="s">
        <v>65</v>
      </c>
      <c r="H7" s="8" t="s">
        <v>66</v>
      </c>
      <c r="I7" s="1" t="s">
        <v>67</v>
      </c>
      <c r="J7" s="8" t="s">
        <v>67</v>
      </c>
      <c r="K7" s="17" t="s">
        <v>65</v>
      </c>
    </row>
    <row r="8" spans="1:11" x14ac:dyDescent="0.2">
      <c r="A8" s="11" t="s">
        <v>0</v>
      </c>
      <c r="K8" s="17" t="s">
        <v>75</v>
      </c>
    </row>
    <row r="9" spans="1:11" x14ac:dyDescent="0.2">
      <c r="A9" s="11" t="s">
        <v>1</v>
      </c>
      <c r="B9" s="13">
        <v>0</v>
      </c>
      <c r="C9" s="13">
        <v>0</v>
      </c>
      <c r="D9" s="13">
        <v>143441.10999999999</v>
      </c>
      <c r="E9" s="13">
        <v>0</v>
      </c>
      <c r="F9" s="14">
        <f>SUM(B9:E9)</f>
        <v>143441.10999999999</v>
      </c>
      <c r="G9" s="14">
        <f>J9/12</f>
        <v>148333.33333333334</v>
      </c>
      <c r="H9" s="13">
        <v>427155.42</v>
      </c>
      <c r="I9" s="14">
        <f>G9*3</f>
        <v>445000</v>
      </c>
      <c r="J9" s="13">
        <v>1780000</v>
      </c>
      <c r="K9" s="32">
        <f>+H9/J9</f>
        <v>0.23997495505617977</v>
      </c>
    </row>
    <row r="10" spans="1:11" x14ac:dyDescent="0.2">
      <c r="A10" s="11" t="s">
        <v>2</v>
      </c>
      <c r="B10" s="13">
        <v>0</v>
      </c>
      <c r="C10" s="13">
        <v>794.22</v>
      </c>
      <c r="D10" s="13">
        <v>6156.65</v>
      </c>
      <c r="E10" s="13">
        <v>0</v>
      </c>
      <c r="F10" s="14">
        <f t="shared" ref="F10:F20" si="0">SUM(B10:E10)</f>
        <v>6950.87</v>
      </c>
      <c r="G10" s="14">
        <f t="shared" ref="G10:G20" si="1">J10/12</f>
        <v>6083.333333333333</v>
      </c>
      <c r="H10" s="13">
        <v>19971.66</v>
      </c>
      <c r="I10" s="14">
        <f t="shared" ref="I10:I20" si="2">G10*3</f>
        <v>18250</v>
      </c>
      <c r="J10" s="13">
        <v>73000</v>
      </c>
      <c r="K10" s="32">
        <f t="shared" ref="K10:K21" si="3">+H10/J10</f>
        <v>0.27358438356164383</v>
      </c>
    </row>
    <row r="11" spans="1:11" x14ac:dyDescent="0.2">
      <c r="A11" s="11" t="s">
        <v>71</v>
      </c>
      <c r="B11" s="13">
        <v>0</v>
      </c>
      <c r="C11" s="13">
        <v>0</v>
      </c>
      <c r="D11" s="13">
        <v>0</v>
      </c>
      <c r="E11" s="13">
        <v>0</v>
      </c>
      <c r="F11" s="14">
        <f t="shared" si="0"/>
        <v>0</v>
      </c>
      <c r="G11" s="14">
        <f t="shared" si="1"/>
        <v>1250</v>
      </c>
      <c r="H11" s="13">
        <f t="shared" ref="H11" si="4">F11</f>
        <v>0</v>
      </c>
      <c r="I11" s="14">
        <f t="shared" si="2"/>
        <v>3750</v>
      </c>
      <c r="J11" s="13">
        <v>15000</v>
      </c>
      <c r="K11" s="32">
        <f t="shared" si="3"/>
        <v>0</v>
      </c>
    </row>
    <row r="12" spans="1:11" x14ac:dyDescent="0.2">
      <c r="A12" s="11" t="s">
        <v>3</v>
      </c>
      <c r="B12" s="13">
        <v>0</v>
      </c>
      <c r="C12" s="13">
        <v>0</v>
      </c>
      <c r="D12" s="13">
        <v>960.69</v>
      </c>
      <c r="E12" s="13">
        <v>0</v>
      </c>
      <c r="F12" s="14">
        <f t="shared" si="0"/>
        <v>960.69</v>
      </c>
      <c r="G12" s="14">
        <f t="shared" si="1"/>
        <v>3333.3333333333335</v>
      </c>
      <c r="H12" s="13">
        <v>6498.3</v>
      </c>
      <c r="I12" s="14">
        <f t="shared" si="2"/>
        <v>10000</v>
      </c>
      <c r="J12" s="13">
        <v>40000</v>
      </c>
      <c r="K12" s="32">
        <f t="shared" si="3"/>
        <v>0.1624575</v>
      </c>
    </row>
    <row r="13" spans="1:11" x14ac:dyDescent="0.2">
      <c r="A13" s="11" t="s">
        <v>4</v>
      </c>
      <c r="B13" s="13">
        <v>0</v>
      </c>
      <c r="C13" s="13">
        <v>0</v>
      </c>
      <c r="D13" s="13">
        <v>9721.2999999999993</v>
      </c>
      <c r="E13" s="13">
        <v>0</v>
      </c>
      <c r="F13" s="14">
        <f t="shared" si="0"/>
        <v>9721.2999999999993</v>
      </c>
      <c r="G13" s="14">
        <f t="shared" si="1"/>
        <v>8333.3333333333339</v>
      </c>
      <c r="H13" s="13">
        <v>78755.39</v>
      </c>
      <c r="I13" s="14">
        <f t="shared" si="2"/>
        <v>25000</v>
      </c>
      <c r="J13" s="13">
        <v>100000</v>
      </c>
      <c r="K13" s="32">
        <f t="shared" si="3"/>
        <v>0.78755390000000003</v>
      </c>
    </row>
    <row r="14" spans="1:11" x14ac:dyDescent="0.2">
      <c r="A14" s="11" t="s">
        <v>5</v>
      </c>
      <c r="B14" s="13">
        <v>0</v>
      </c>
      <c r="C14" s="13">
        <v>108686.65</v>
      </c>
      <c r="D14" s="13">
        <v>0</v>
      </c>
      <c r="E14" s="13">
        <v>0</v>
      </c>
      <c r="F14" s="14">
        <f t="shared" si="0"/>
        <v>108686.65</v>
      </c>
      <c r="G14" s="14">
        <f t="shared" si="1"/>
        <v>121666.66666666667</v>
      </c>
      <c r="H14" s="13">
        <v>328069.67</v>
      </c>
      <c r="I14" s="14">
        <f t="shared" si="2"/>
        <v>365000</v>
      </c>
      <c r="J14" s="13">
        <v>1460000</v>
      </c>
      <c r="K14" s="32">
        <f t="shared" si="3"/>
        <v>0.22470525342465753</v>
      </c>
    </row>
    <row r="15" spans="1:11" x14ac:dyDescent="0.2">
      <c r="A15" s="11" t="s">
        <v>6</v>
      </c>
      <c r="B15" s="13">
        <v>0</v>
      </c>
      <c r="C15" s="13">
        <v>695.38</v>
      </c>
      <c r="D15" s="13">
        <v>0</v>
      </c>
      <c r="E15" s="13">
        <v>0</v>
      </c>
      <c r="F15" s="14">
        <f t="shared" si="0"/>
        <v>695.38</v>
      </c>
      <c r="G15" s="14">
        <f t="shared" si="1"/>
        <v>916.66666666666663</v>
      </c>
      <c r="H15" s="13">
        <v>2033.68</v>
      </c>
      <c r="I15" s="14">
        <f t="shared" si="2"/>
        <v>2750</v>
      </c>
      <c r="J15" s="13">
        <v>11000</v>
      </c>
      <c r="K15" s="32">
        <f t="shared" si="3"/>
        <v>0.18488000000000002</v>
      </c>
    </row>
    <row r="16" spans="1:11" x14ac:dyDescent="0.2">
      <c r="A16" s="11" t="s">
        <v>7</v>
      </c>
      <c r="B16" s="13">
        <v>0</v>
      </c>
      <c r="C16" s="13">
        <v>0</v>
      </c>
      <c r="D16" s="13">
        <v>0</v>
      </c>
      <c r="E16" s="13">
        <v>21429.07</v>
      </c>
      <c r="F16" s="14">
        <f t="shared" si="0"/>
        <v>21429.07</v>
      </c>
      <c r="G16" s="14">
        <f t="shared" si="1"/>
        <v>15833.333333333334</v>
      </c>
      <c r="H16" s="13">
        <v>71003.009999999995</v>
      </c>
      <c r="I16" s="14">
        <f t="shared" si="2"/>
        <v>47500</v>
      </c>
      <c r="J16" s="13">
        <v>190000</v>
      </c>
      <c r="K16" s="32">
        <f t="shared" si="3"/>
        <v>0.37370005263157891</v>
      </c>
    </row>
    <row r="17" spans="1:12" x14ac:dyDescent="0.2">
      <c r="A17" s="11" t="s">
        <v>8</v>
      </c>
      <c r="B17" s="13">
        <v>0</v>
      </c>
      <c r="C17" s="13">
        <v>431.35</v>
      </c>
      <c r="D17" s="13">
        <v>0</v>
      </c>
      <c r="E17" s="13">
        <v>0</v>
      </c>
      <c r="F17" s="14">
        <f t="shared" si="0"/>
        <v>431.35</v>
      </c>
      <c r="G17" s="14">
        <f t="shared" si="1"/>
        <v>625</v>
      </c>
      <c r="H17" s="13">
        <v>995.9</v>
      </c>
      <c r="I17" s="14">
        <f t="shared" si="2"/>
        <v>1875</v>
      </c>
      <c r="J17" s="13">
        <v>7500</v>
      </c>
      <c r="K17" s="32">
        <f t="shared" si="3"/>
        <v>0.13278666666666666</v>
      </c>
    </row>
    <row r="18" spans="1:12" x14ac:dyDescent="0.2">
      <c r="A18" s="11" t="s">
        <v>9</v>
      </c>
      <c r="B18" s="13">
        <v>0</v>
      </c>
      <c r="C18" s="13">
        <v>3261.42</v>
      </c>
      <c r="D18" s="13">
        <v>0</v>
      </c>
      <c r="E18" s="13">
        <v>0</v>
      </c>
      <c r="F18" s="14">
        <f t="shared" si="0"/>
        <v>3261.42</v>
      </c>
      <c r="G18" s="14">
        <f t="shared" si="1"/>
        <v>4166.666666666667</v>
      </c>
      <c r="H18" s="13">
        <v>7969.51</v>
      </c>
      <c r="I18" s="14">
        <f t="shared" si="2"/>
        <v>12500</v>
      </c>
      <c r="J18" s="13">
        <v>50000</v>
      </c>
      <c r="K18" s="32">
        <f t="shared" si="3"/>
        <v>0.15939020000000001</v>
      </c>
    </row>
    <row r="19" spans="1:12" x14ac:dyDescent="0.2">
      <c r="A19" s="11" t="s">
        <v>10</v>
      </c>
      <c r="B19" s="13">
        <v>0</v>
      </c>
      <c r="C19" s="13">
        <v>47381.06</v>
      </c>
      <c r="D19" s="13">
        <v>0</v>
      </c>
      <c r="E19" s="13">
        <v>0</v>
      </c>
      <c r="F19" s="14">
        <f t="shared" si="0"/>
        <v>47381.06</v>
      </c>
      <c r="G19" s="14">
        <f t="shared" si="1"/>
        <v>48666.666666666664</v>
      </c>
      <c r="H19" s="13">
        <v>147588.44</v>
      </c>
      <c r="I19" s="14">
        <f t="shared" si="2"/>
        <v>146000</v>
      </c>
      <c r="J19" s="13">
        <v>584000</v>
      </c>
      <c r="K19" s="32">
        <f t="shared" si="3"/>
        <v>0.25271993150684929</v>
      </c>
    </row>
    <row r="20" spans="1:12" x14ac:dyDescent="0.2">
      <c r="A20" s="11" t="s">
        <v>11</v>
      </c>
      <c r="B20" s="13">
        <v>0</v>
      </c>
      <c r="C20" s="13">
        <v>0</v>
      </c>
      <c r="D20" s="13">
        <v>0</v>
      </c>
      <c r="E20" s="13">
        <v>9540.86</v>
      </c>
      <c r="F20" s="14">
        <f t="shared" si="0"/>
        <v>9540.86</v>
      </c>
      <c r="G20" s="14">
        <f t="shared" si="1"/>
        <v>4583.333333333333</v>
      </c>
      <c r="H20" s="13">
        <v>25463.85</v>
      </c>
      <c r="I20" s="14">
        <f t="shared" si="2"/>
        <v>13750</v>
      </c>
      <c r="J20" s="13">
        <v>55000</v>
      </c>
      <c r="K20" s="33">
        <f t="shared" si="3"/>
        <v>0.4629790909090909</v>
      </c>
    </row>
    <row r="21" spans="1:12" x14ac:dyDescent="0.2">
      <c r="A21" s="11" t="s">
        <v>12</v>
      </c>
      <c r="B21" s="35">
        <f t="shared" ref="B21:J21" si="5">SUM(B9:B20)</f>
        <v>0</v>
      </c>
      <c r="C21" s="35">
        <f t="shared" si="5"/>
        <v>161250.08000000002</v>
      </c>
      <c r="D21" s="36">
        <f t="shared" si="5"/>
        <v>160279.74999999997</v>
      </c>
      <c r="E21" s="36">
        <f t="shared" si="5"/>
        <v>30969.93</v>
      </c>
      <c r="F21" s="35">
        <f t="shared" si="5"/>
        <v>352499.75999999995</v>
      </c>
      <c r="G21" s="35">
        <f t="shared" si="5"/>
        <v>363791.66666666674</v>
      </c>
      <c r="H21" s="36">
        <f t="shared" si="5"/>
        <v>1115504.83</v>
      </c>
      <c r="I21" s="35">
        <f>SUM(I9:I20)</f>
        <v>1091375</v>
      </c>
      <c r="J21" s="36">
        <f t="shared" si="5"/>
        <v>4365500</v>
      </c>
      <c r="K21" s="40">
        <f t="shared" si="3"/>
        <v>0.25552739205131142</v>
      </c>
      <c r="L21" s="2"/>
    </row>
    <row r="22" spans="1:12" x14ac:dyDescent="0.2">
      <c r="A22" s="11"/>
    </row>
    <row r="23" spans="1:12" x14ac:dyDescent="0.2">
      <c r="A23" s="11" t="s">
        <v>13</v>
      </c>
      <c r="B23" s="1" t="s">
        <v>57</v>
      </c>
      <c r="C23" t="s">
        <v>58</v>
      </c>
      <c r="D23" s="8" t="s">
        <v>59</v>
      </c>
      <c r="E23" s="41" t="s">
        <v>87</v>
      </c>
      <c r="F23" s="1" t="s">
        <v>60</v>
      </c>
      <c r="G23" s="1" t="s">
        <v>61</v>
      </c>
      <c r="H23" s="8" t="s">
        <v>62</v>
      </c>
      <c r="I23" s="1" t="s">
        <v>62</v>
      </c>
      <c r="J23" s="8" t="s">
        <v>63</v>
      </c>
      <c r="K23" s="16">
        <f>+K6</f>
        <v>0.25</v>
      </c>
    </row>
    <row r="24" spans="1:12" x14ac:dyDescent="0.2">
      <c r="A24" s="11"/>
      <c r="B24" s="1"/>
      <c r="D24" s="8"/>
      <c r="E24" s="41" t="s">
        <v>88</v>
      </c>
      <c r="F24" s="1" t="s">
        <v>68</v>
      </c>
      <c r="G24" s="1" t="s">
        <v>65</v>
      </c>
      <c r="H24" s="8" t="s">
        <v>68</v>
      </c>
      <c r="I24" s="1" t="s">
        <v>67</v>
      </c>
      <c r="J24" s="8" t="s">
        <v>67</v>
      </c>
      <c r="K24" s="17" t="s">
        <v>65</v>
      </c>
    </row>
    <row r="25" spans="1:12" x14ac:dyDescent="0.2">
      <c r="A25" s="11"/>
      <c r="B25" s="1"/>
      <c r="D25" s="8"/>
      <c r="E25" s="8"/>
      <c r="F25" s="1"/>
      <c r="G25" s="1"/>
      <c r="H25" s="8"/>
      <c r="I25" s="1"/>
      <c r="J25" s="8"/>
      <c r="K25" s="17" t="s">
        <v>75</v>
      </c>
    </row>
    <row r="26" spans="1:12" x14ac:dyDescent="0.2">
      <c r="A26" s="11" t="s">
        <v>14</v>
      </c>
      <c r="B26" s="13">
        <v>44291.24</v>
      </c>
      <c r="C26" s="13">
        <v>44996.69</v>
      </c>
      <c r="D26" s="13">
        <v>28994.799999999999</v>
      </c>
      <c r="E26" s="13">
        <v>2367.58</v>
      </c>
      <c r="F26" s="14">
        <f t="shared" ref="F26:F38" si="6">SUM(B26:E26)</f>
        <v>120650.31</v>
      </c>
      <c r="G26" s="14">
        <f t="shared" ref="G26:G38" si="7">J26/12</f>
        <v>84166.666666666672</v>
      </c>
      <c r="H26" s="13">
        <v>260343.07</v>
      </c>
      <c r="I26" s="14">
        <f t="shared" ref="I26:I38" si="8">G26*3</f>
        <v>252500</v>
      </c>
      <c r="J26" s="13">
        <v>1010000</v>
      </c>
      <c r="K26" s="34">
        <f t="shared" ref="K26:K38" si="9">+H26/J26</f>
        <v>0.25776541584158419</v>
      </c>
    </row>
    <row r="27" spans="1:12" x14ac:dyDescent="0.2">
      <c r="A27" s="11" t="s">
        <v>15</v>
      </c>
      <c r="B27" s="13">
        <v>3549.27</v>
      </c>
      <c r="C27" s="13">
        <v>4050.78</v>
      </c>
      <c r="D27" s="13">
        <v>2316.66</v>
      </c>
      <c r="E27" s="13">
        <v>181.12</v>
      </c>
      <c r="F27" s="14">
        <f t="shared" si="6"/>
        <v>10097.83</v>
      </c>
      <c r="G27" s="14">
        <f t="shared" si="7"/>
        <v>6666.666666666667</v>
      </c>
      <c r="H27" s="13">
        <v>22015.85</v>
      </c>
      <c r="I27" s="14">
        <f t="shared" si="8"/>
        <v>20000</v>
      </c>
      <c r="J27" s="13">
        <v>80000</v>
      </c>
      <c r="K27" s="34">
        <f t="shared" si="9"/>
        <v>0.27519812499999996</v>
      </c>
    </row>
    <row r="28" spans="1:12" x14ac:dyDescent="0.2">
      <c r="A28" s="11" t="s">
        <v>16</v>
      </c>
      <c r="B28" s="13">
        <v>0</v>
      </c>
      <c r="C28" s="13">
        <v>0</v>
      </c>
      <c r="D28" s="13">
        <v>0</v>
      </c>
      <c r="E28" s="13">
        <v>0</v>
      </c>
      <c r="F28" s="14">
        <f t="shared" si="6"/>
        <v>0</v>
      </c>
      <c r="G28" s="14">
        <f t="shared" si="7"/>
        <v>625</v>
      </c>
      <c r="H28" s="13">
        <f t="shared" ref="H28:H37" si="10">F28</f>
        <v>0</v>
      </c>
      <c r="I28" s="14">
        <f t="shared" si="8"/>
        <v>1875</v>
      </c>
      <c r="J28" s="13">
        <v>7500</v>
      </c>
      <c r="K28" s="34">
        <f t="shared" si="9"/>
        <v>0</v>
      </c>
    </row>
    <row r="29" spans="1:12" x14ac:dyDescent="0.2">
      <c r="A29" s="11" t="s">
        <v>17</v>
      </c>
      <c r="B29" s="13">
        <v>2439.1999999999998</v>
      </c>
      <c r="C29" s="13">
        <v>851.62</v>
      </c>
      <c r="D29" s="13">
        <v>1396</v>
      </c>
      <c r="E29" s="13">
        <v>91.98</v>
      </c>
      <c r="F29" s="14">
        <f t="shared" si="6"/>
        <v>4778.7999999999993</v>
      </c>
      <c r="G29" s="14">
        <f t="shared" si="7"/>
        <v>3600</v>
      </c>
      <c r="H29" s="13">
        <v>12559.96</v>
      </c>
      <c r="I29" s="14">
        <f t="shared" si="8"/>
        <v>10800</v>
      </c>
      <c r="J29" s="13">
        <v>43200</v>
      </c>
      <c r="K29" s="34">
        <f t="shared" si="9"/>
        <v>0.29073981481481481</v>
      </c>
    </row>
    <row r="30" spans="1:12" x14ac:dyDescent="0.2">
      <c r="A30" s="11" t="s">
        <v>18</v>
      </c>
      <c r="B30" s="13">
        <v>0</v>
      </c>
      <c r="C30" s="13">
        <v>0</v>
      </c>
      <c r="D30" s="13">
        <v>84400.63</v>
      </c>
      <c r="E30" s="13">
        <v>0</v>
      </c>
      <c r="F30" s="14">
        <f t="shared" si="6"/>
        <v>84400.63</v>
      </c>
      <c r="G30" s="14">
        <f t="shared" si="7"/>
        <v>8750</v>
      </c>
      <c r="H30" s="13">
        <v>105312.99</v>
      </c>
      <c r="I30" s="14">
        <f t="shared" si="8"/>
        <v>26250</v>
      </c>
      <c r="J30" s="13">
        <v>105000</v>
      </c>
      <c r="K30" s="34">
        <f t="shared" si="9"/>
        <v>1.0029808571428571</v>
      </c>
    </row>
    <row r="31" spans="1:12" x14ac:dyDescent="0.2">
      <c r="A31" s="11" t="s">
        <v>19</v>
      </c>
      <c r="B31" s="13">
        <v>0</v>
      </c>
      <c r="C31" s="13">
        <v>0</v>
      </c>
      <c r="D31" s="13">
        <v>0</v>
      </c>
      <c r="E31" s="13">
        <v>0</v>
      </c>
      <c r="F31" s="14">
        <f t="shared" si="6"/>
        <v>0</v>
      </c>
      <c r="G31" s="14">
        <f t="shared" si="7"/>
        <v>833.33333333333337</v>
      </c>
      <c r="H31" s="13">
        <f t="shared" si="10"/>
        <v>0</v>
      </c>
      <c r="I31" s="14">
        <f t="shared" si="8"/>
        <v>2500</v>
      </c>
      <c r="J31" s="13">
        <f>10000</f>
        <v>10000</v>
      </c>
      <c r="K31" s="34">
        <f t="shared" si="9"/>
        <v>0</v>
      </c>
    </row>
    <row r="32" spans="1:12" x14ac:dyDescent="0.2">
      <c r="A32" s="11" t="s">
        <v>20</v>
      </c>
      <c r="B32" s="13">
        <v>0</v>
      </c>
      <c r="C32" s="13">
        <v>0</v>
      </c>
      <c r="D32" s="13">
        <v>0</v>
      </c>
      <c r="E32" s="13">
        <v>0</v>
      </c>
      <c r="F32" s="14">
        <f t="shared" si="6"/>
        <v>0</v>
      </c>
      <c r="G32" s="14">
        <f t="shared" si="7"/>
        <v>2083.3333333333335</v>
      </c>
      <c r="H32" s="13">
        <v>14175</v>
      </c>
      <c r="I32" s="14">
        <f t="shared" si="8"/>
        <v>6250</v>
      </c>
      <c r="J32" s="13">
        <v>25000</v>
      </c>
      <c r="K32" s="34">
        <f t="shared" si="9"/>
        <v>0.56699999999999995</v>
      </c>
    </row>
    <row r="33" spans="1:20" x14ac:dyDescent="0.2">
      <c r="A33" s="11" t="s">
        <v>21</v>
      </c>
      <c r="B33" s="13">
        <v>0</v>
      </c>
      <c r="C33" s="13">
        <v>0</v>
      </c>
      <c r="D33" s="13">
        <v>0</v>
      </c>
      <c r="E33" s="13">
        <v>0</v>
      </c>
      <c r="F33" s="14">
        <f t="shared" si="6"/>
        <v>0</v>
      </c>
      <c r="G33" s="14">
        <f t="shared" si="7"/>
        <v>1750</v>
      </c>
      <c r="H33" s="13">
        <v>3467.44</v>
      </c>
      <c r="I33" s="14">
        <f t="shared" si="8"/>
        <v>5250</v>
      </c>
      <c r="J33" s="13">
        <v>21000</v>
      </c>
      <c r="K33" s="34">
        <f t="shared" si="9"/>
        <v>0.16511619047619047</v>
      </c>
    </row>
    <row r="34" spans="1:20" x14ac:dyDescent="0.2">
      <c r="A34" s="11" t="s">
        <v>22</v>
      </c>
      <c r="B34" s="13">
        <v>0</v>
      </c>
      <c r="C34" s="13">
        <v>697.5</v>
      </c>
      <c r="D34" s="13">
        <v>662.58</v>
      </c>
      <c r="E34" s="13">
        <v>0</v>
      </c>
      <c r="F34" s="14">
        <f t="shared" si="6"/>
        <v>1360.08</v>
      </c>
      <c r="G34" s="14">
        <f t="shared" si="7"/>
        <v>2666.6666666666665</v>
      </c>
      <c r="H34" s="13">
        <v>4432.2700000000004</v>
      </c>
      <c r="I34" s="14">
        <f t="shared" si="8"/>
        <v>8000</v>
      </c>
      <c r="J34" s="13">
        <v>32000</v>
      </c>
      <c r="K34" s="34">
        <f t="shared" si="9"/>
        <v>0.13850843750000003</v>
      </c>
    </row>
    <row r="35" spans="1:20" x14ac:dyDescent="0.2">
      <c r="A35" s="11" t="s">
        <v>23</v>
      </c>
      <c r="B35" s="13">
        <v>0</v>
      </c>
      <c r="C35" s="13">
        <v>4320.8999999999996</v>
      </c>
      <c r="D35" s="13">
        <v>4320.91</v>
      </c>
      <c r="E35" s="13">
        <v>0</v>
      </c>
      <c r="F35" s="14">
        <f t="shared" si="6"/>
        <v>8641.81</v>
      </c>
      <c r="G35" s="14">
        <f t="shared" si="7"/>
        <v>10833.333333333334</v>
      </c>
      <c r="H35" s="13">
        <v>27353.62</v>
      </c>
      <c r="I35" s="14">
        <f t="shared" si="8"/>
        <v>32500</v>
      </c>
      <c r="J35" s="13">
        <v>130000</v>
      </c>
      <c r="K35" s="34">
        <f t="shared" si="9"/>
        <v>0.21041246153846152</v>
      </c>
    </row>
    <row r="36" spans="1:20" x14ac:dyDescent="0.2">
      <c r="A36" s="11" t="s">
        <v>24</v>
      </c>
      <c r="B36" s="13">
        <v>0</v>
      </c>
      <c r="C36" s="13">
        <v>0</v>
      </c>
      <c r="D36" s="13">
        <v>38.049999999999997</v>
      </c>
      <c r="E36" s="13">
        <v>0</v>
      </c>
      <c r="F36" s="14">
        <f t="shared" si="6"/>
        <v>38.049999999999997</v>
      </c>
      <c r="G36" s="14">
        <f t="shared" si="7"/>
        <v>1666.6666666666667</v>
      </c>
      <c r="H36" s="13">
        <v>349.77</v>
      </c>
      <c r="I36" s="14">
        <f t="shared" si="8"/>
        <v>5000</v>
      </c>
      <c r="J36" s="13">
        <v>20000</v>
      </c>
      <c r="K36" s="34">
        <f t="shared" si="9"/>
        <v>1.7488500000000001E-2</v>
      </c>
    </row>
    <row r="37" spans="1:20" x14ac:dyDescent="0.2">
      <c r="A37" s="11" t="s">
        <v>25</v>
      </c>
      <c r="B37" s="13">
        <v>0</v>
      </c>
      <c r="C37" s="13">
        <v>0</v>
      </c>
      <c r="D37" s="13">
        <v>0</v>
      </c>
      <c r="E37" s="13">
        <v>0</v>
      </c>
      <c r="F37" s="14">
        <f t="shared" si="6"/>
        <v>0</v>
      </c>
      <c r="G37" s="14">
        <f t="shared" si="7"/>
        <v>250</v>
      </c>
      <c r="H37" s="13">
        <f t="shared" si="10"/>
        <v>0</v>
      </c>
      <c r="I37" s="14">
        <f t="shared" si="8"/>
        <v>750</v>
      </c>
      <c r="J37" s="13">
        <f>1500+1500</f>
        <v>3000</v>
      </c>
      <c r="K37" s="34">
        <f t="shared" si="9"/>
        <v>0</v>
      </c>
    </row>
    <row r="38" spans="1:20" x14ac:dyDescent="0.2">
      <c r="A38" s="11" t="s">
        <v>26</v>
      </c>
      <c r="B38" s="13">
        <v>0</v>
      </c>
      <c r="C38" s="13">
        <v>0</v>
      </c>
      <c r="D38" s="13">
        <v>3800</v>
      </c>
      <c r="E38" s="13">
        <v>8000</v>
      </c>
      <c r="F38" s="14">
        <f t="shared" si="6"/>
        <v>11800</v>
      </c>
      <c r="G38" s="14">
        <f t="shared" si="7"/>
        <v>30833.333333333332</v>
      </c>
      <c r="H38" s="13">
        <v>20255</v>
      </c>
      <c r="I38" s="14">
        <f t="shared" si="8"/>
        <v>92500</v>
      </c>
      <c r="J38" s="13">
        <v>370000</v>
      </c>
      <c r="K38" s="34">
        <f t="shared" si="9"/>
        <v>5.4743243243243242E-2</v>
      </c>
    </row>
    <row r="39" spans="1:20" x14ac:dyDescent="0.2">
      <c r="A39" s="11"/>
      <c r="B39" s="14"/>
      <c r="C39" s="13"/>
      <c r="D39" s="13"/>
      <c r="E39" s="13"/>
      <c r="F39" s="14"/>
      <c r="G39" s="14"/>
      <c r="H39" s="13"/>
      <c r="I39" s="14"/>
      <c r="J39" s="13"/>
    </row>
    <row r="40" spans="1:20" x14ac:dyDescent="0.2">
      <c r="A40" s="11"/>
      <c r="B40" s="2"/>
      <c r="C40" s="6"/>
      <c r="D40" s="6"/>
      <c r="E40" s="6"/>
      <c r="F40" s="2"/>
      <c r="G40" s="2"/>
      <c r="H40" s="6"/>
      <c r="I40" s="2"/>
      <c r="J40" s="6"/>
    </row>
    <row r="41" spans="1:20" x14ac:dyDescent="0.2">
      <c r="A41" s="11"/>
      <c r="B41" s="1"/>
      <c r="C41" s="7"/>
      <c r="D41" s="8"/>
      <c r="E41" s="8"/>
      <c r="F41" s="1"/>
      <c r="G41" s="1"/>
      <c r="H41" s="8"/>
      <c r="I41" s="1"/>
      <c r="J41" s="8"/>
      <c r="L41" s="1"/>
      <c r="M41" s="1"/>
      <c r="O41" s="1"/>
      <c r="P41" s="1"/>
      <c r="Q41" s="1"/>
      <c r="R41" s="1"/>
      <c r="S41" s="1"/>
      <c r="T41" s="1"/>
    </row>
    <row r="42" spans="1:20" x14ac:dyDescent="0.2">
      <c r="A42" s="11"/>
      <c r="B42" s="2"/>
      <c r="C42" s="6"/>
      <c r="D42" s="6"/>
      <c r="E42" s="6"/>
      <c r="F42" s="2"/>
      <c r="G42" s="2"/>
      <c r="H42" s="6"/>
      <c r="I42" s="2"/>
      <c r="J42" s="6"/>
      <c r="L42" s="1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1" t="s">
        <v>13</v>
      </c>
      <c r="B43" s="1" t="s">
        <v>57</v>
      </c>
      <c r="C43" s="7" t="s">
        <v>58</v>
      </c>
      <c r="D43" s="8" t="s">
        <v>59</v>
      </c>
      <c r="E43" s="41" t="s">
        <v>87</v>
      </c>
      <c r="F43" s="1" t="s">
        <v>60</v>
      </c>
      <c r="G43" s="1" t="s">
        <v>61</v>
      </c>
      <c r="H43" s="8" t="s">
        <v>62</v>
      </c>
      <c r="I43" s="1" t="s">
        <v>62</v>
      </c>
      <c r="J43" s="8" t="s">
        <v>63</v>
      </c>
      <c r="K43" s="16">
        <f>+K6</f>
        <v>0.25</v>
      </c>
      <c r="L43" s="1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1"/>
      <c r="B44" s="1"/>
      <c r="C44" s="7"/>
      <c r="D44" s="8"/>
      <c r="E44" s="41" t="s">
        <v>88</v>
      </c>
      <c r="F44" s="1" t="s">
        <v>68</v>
      </c>
      <c r="G44" s="1" t="s">
        <v>65</v>
      </c>
      <c r="H44" s="8" t="s">
        <v>68</v>
      </c>
      <c r="I44" s="1" t="s">
        <v>67</v>
      </c>
      <c r="J44" s="8" t="s">
        <v>67</v>
      </c>
      <c r="K44" s="17" t="s">
        <v>65</v>
      </c>
      <c r="L44" s="1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1"/>
      <c r="B45" s="1"/>
      <c r="C45" s="7"/>
      <c r="D45" s="8"/>
      <c r="E45" s="8"/>
      <c r="F45" s="1"/>
      <c r="G45" s="1"/>
      <c r="H45" s="8"/>
      <c r="I45" s="1"/>
      <c r="J45" s="8"/>
      <c r="K45" s="17" t="s">
        <v>75</v>
      </c>
      <c r="L45" s="1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11" t="s">
        <v>27</v>
      </c>
      <c r="B46" s="6">
        <v>4721.59</v>
      </c>
      <c r="C46" s="6">
        <v>7736.26</v>
      </c>
      <c r="D46" s="6">
        <v>4364.32</v>
      </c>
      <c r="E46" s="6">
        <v>263.39999999999998</v>
      </c>
      <c r="F46" s="14">
        <f t="shared" ref="F46:F72" si="11">SUM(B46:E46)</f>
        <v>17085.57</v>
      </c>
      <c r="G46" s="2">
        <f t="shared" ref="G46:G48" si="12">J46/12</f>
        <v>16500</v>
      </c>
      <c r="H46" s="6">
        <v>51076.89</v>
      </c>
      <c r="I46" s="14">
        <f t="shared" ref="I46:I72" si="13">G46*3</f>
        <v>49500</v>
      </c>
      <c r="J46" s="6">
        <v>198000</v>
      </c>
      <c r="K46" s="34">
        <f t="shared" ref="K46:K73" si="14">+H46/J46</f>
        <v>0.25796409090909089</v>
      </c>
      <c r="L46" s="1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1" t="s">
        <v>28</v>
      </c>
      <c r="B47" s="13">
        <v>0</v>
      </c>
      <c r="C47" s="13">
        <v>0</v>
      </c>
      <c r="D47" s="13">
        <v>0</v>
      </c>
      <c r="E47" s="13">
        <v>0</v>
      </c>
      <c r="F47" s="14">
        <f t="shared" si="11"/>
        <v>0</v>
      </c>
      <c r="G47" s="14">
        <f t="shared" si="12"/>
        <v>25520.833333333332</v>
      </c>
      <c r="H47" s="13">
        <v>290231</v>
      </c>
      <c r="I47" s="14">
        <f t="shared" si="13"/>
        <v>76562.5</v>
      </c>
      <c r="J47" s="13">
        <v>306250</v>
      </c>
      <c r="K47" s="34">
        <f t="shared" si="14"/>
        <v>0.94769306122448982</v>
      </c>
      <c r="L47" s="1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1" t="s">
        <v>29</v>
      </c>
      <c r="B48" s="13">
        <v>0</v>
      </c>
      <c r="C48" s="13">
        <v>0</v>
      </c>
      <c r="D48" s="13">
        <v>0</v>
      </c>
      <c r="E48" s="13">
        <v>0</v>
      </c>
      <c r="F48" s="14">
        <f t="shared" si="11"/>
        <v>0</v>
      </c>
      <c r="G48" s="14">
        <f t="shared" si="12"/>
        <v>416.66666666666669</v>
      </c>
      <c r="H48" s="13">
        <v>248</v>
      </c>
      <c r="I48" s="14">
        <f t="shared" si="13"/>
        <v>1250</v>
      </c>
      <c r="J48" s="13">
        <f>2500+2500</f>
        <v>5000</v>
      </c>
      <c r="K48" s="34">
        <f t="shared" si="14"/>
        <v>4.9599999999999998E-2</v>
      </c>
      <c r="L48" s="1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1" t="s">
        <v>30</v>
      </c>
      <c r="B49" s="13">
        <v>0</v>
      </c>
      <c r="C49" s="13">
        <v>0</v>
      </c>
      <c r="D49" s="13">
        <v>0</v>
      </c>
      <c r="E49" s="13">
        <v>0</v>
      </c>
      <c r="F49" s="14">
        <f t="shared" si="11"/>
        <v>0</v>
      </c>
      <c r="G49" s="14">
        <f>J49/12</f>
        <v>1333.3333333333333</v>
      </c>
      <c r="H49" s="13">
        <v>1108.24</v>
      </c>
      <c r="I49" s="14">
        <f t="shared" si="13"/>
        <v>4000</v>
      </c>
      <c r="J49" s="13">
        <f>8000+8000</f>
        <v>16000</v>
      </c>
      <c r="K49" s="34">
        <f t="shared" si="14"/>
        <v>6.9265000000000007E-2</v>
      </c>
      <c r="L49" s="1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1" t="s">
        <v>32</v>
      </c>
      <c r="B50" s="13">
        <v>0</v>
      </c>
      <c r="C50" s="13">
        <v>0</v>
      </c>
      <c r="D50" s="13">
        <v>0</v>
      </c>
      <c r="E50" s="13">
        <v>0</v>
      </c>
      <c r="F50" s="14">
        <f t="shared" si="11"/>
        <v>0</v>
      </c>
      <c r="G50" s="14">
        <f t="shared" ref="G50:G72" si="15">J50/12</f>
        <v>6500</v>
      </c>
      <c r="H50" s="13">
        <v>0</v>
      </c>
      <c r="I50" s="14">
        <f t="shared" si="13"/>
        <v>19500</v>
      </c>
      <c r="J50" s="13">
        <v>78000</v>
      </c>
      <c r="K50" s="34">
        <f t="shared" si="14"/>
        <v>0</v>
      </c>
      <c r="L50" s="1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1" t="s">
        <v>33</v>
      </c>
      <c r="B51" s="13">
        <v>0</v>
      </c>
      <c r="C51" s="13">
        <v>0</v>
      </c>
      <c r="D51" s="13">
        <v>0</v>
      </c>
      <c r="E51" s="13">
        <v>0</v>
      </c>
      <c r="F51" s="14">
        <f t="shared" si="11"/>
        <v>0</v>
      </c>
      <c r="G51" s="14">
        <f t="shared" si="15"/>
        <v>750</v>
      </c>
      <c r="H51" s="13">
        <v>1145.9100000000001</v>
      </c>
      <c r="I51" s="14">
        <f t="shared" si="13"/>
        <v>2250</v>
      </c>
      <c r="J51" s="13">
        <v>9000</v>
      </c>
      <c r="K51" s="34">
        <f t="shared" si="14"/>
        <v>0.12732333333333334</v>
      </c>
      <c r="L51" s="1"/>
      <c r="M51" s="2"/>
      <c r="N51" s="2"/>
      <c r="O51" s="2"/>
      <c r="P51" s="2"/>
      <c r="Q51" s="2"/>
      <c r="R51" s="2"/>
      <c r="S51" s="2"/>
      <c r="T51" s="2"/>
    </row>
    <row r="52" spans="1:20" x14ac:dyDescent="0.2">
      <c r="A52" s="11" t="s">
        <v>34</v>
      </c>
      <c r="B52" s="13">
        <v>0</v>
      </c>
      <c r="C52" s="13">
        <v>127.76</v>
      </c>
      <c r="D52" s="13">
        <v>391.65</v>
      </c>
      <c r="E52" s="13">
        <v>0</v>
      </c>
      <c r="F52" s="14">
        <f t="shared" si="11"/>
        <v>519.41</v>
      </c>
      <c r="G52" s="14">
        <f t="shared" si="15"/>
        <v>1250</v>
      </c>
      <c r="H52" s="13">
        <v>3646.98</v>
      </c>
      <c r="I52" s="14">
        <f t="shared" si="13"/>
        <v>3750</v>
      </c>
      <c r="J52" s="13">
        <v>15000</v>
      </c>
      <c r="K52" s="34">
        <f t="shared" si="14"/>
        <v>0.24313200000000001</v>
      </c>
      <c r="L52" s="1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11" t="s">
        <v>35</v>
      </c>
      <c r="B53" s="13">
        <v>0</v>
      </c>
      <c r="C53" s="13">
        <v>289.60000000000002</v>
      </c>
      <c r="D53" s="13">
        <v>493.8</v>
      </c>
      <c r="E53" s="13">
        <v>0</v>
      </c>
      <c r="F53" s="14">
        <f t="shared" si="11"/>
        <v>783.40000000000009</v>
      </c>
      <c r="G53" s="14">
        <f t="shared" si="15"/>
        <v>13750</v>
      </c>
      <c r="H53" s="13">
        <v>21122.46</v>
      </c>
      <c r="I53" s="14">
        <f t="shared" si="13"/>
        <v>41250</v>
      </c>
      <c r="J53" s="13">
        <v>165000</v>
      </c>
      <c r="K53" s="34">
        <f t="shared" si="14"/>
        <v>0.1280149090909091</v>
      </c>
      <c r="L53" s="1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11" t="s">
        <v>36</v>
      </c>
      <c r="B54" s="13">
        <v>0</v>
      </c>
      <c r="C54" s="13">
        <v>86030.48</v>
      </c>
      <c r="D54" s="13">
        <v>0</v>
      </c>
      <c r="E54" s="13">
        <v>0</v>
      </c>
      <c r="F54" s="14">
        <f t="shared" si="11"/>
        <v>86030.48</v>
      </c>
      <c r="G54" s="14">
        <f t="shared" si="15"/>
        <v>91666.666666666672</v>
      </c>
      <c r="H54" s="13">
        <v>241698.5</v>
      </c>
      <c r="I54" s="14">
        <f t="shared" si="13"/>
        <v>275000</v>
      </c>
      <c r="J54" s="13">
        <v>1100000</v>
      </c>
      <c r="K54" s="34">
        <f t="shared" si="14"/>
        <v>0.21972590909090908</v>
      </c>
      <c r="L54" s="1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11" t="s">
        <v>37</v>
      </c>
      <c r="B55" s="13">
        <v>0</v>
      </c>
      <c r="C55" s="13">
        <v>0</v>
      </c>
      <c r="D55" s="13">
        <v>0</v>
      </c>
      <c r="E55" s="13">
        <v>0</v>
      </c>
      <c r="F55" s="14">
        <f t="shared" si="11"/>
        <v>0</v>
      </c>
      <c r="G55" s="14">
        <f t="shared" si="15"/>
        <v>875</v>
      </c>
      <c r="H55" s="13">
        <v>763.74</v>
      </c>
      <c r="I55" s="14">
        <f t="shared" si="13"/>
        <v>2625</v>
      </c>
      <c r="J55" s="13">
        <v>10500</v>
      </c>
      <c r="K55" s="34">
        <f t="shared" si="14"/>
        <v>7.2737142857142861E-2</v>
      </c>
      <c r="L55" s="1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11" t="s">
        <v>38</v>
      </c>
      <c r="B56" s="13">
        <v>0</v>
      </c>
      <c r="C56" s="13">
        <v>0</v>
      </c>
      <c r="D56" s="13">
        <v>0</v>
      </c>
      <c r="E56" s="13">
        <v>7645.75</v>
      </c>
      <c r="F56" s="14">
        <f t="shared" si="11"/>
        <v>7645.75</v>
      </c>
      <c r="G56" s="14">
        <f t="shared" si="15"/>
        <v>3333.3333333333335</v>
      </c>
      <c r="H56" s="13">
        <v>17704.75</v>
      </c>
      <c r="I56" s="14">
        <f t="shared" si="13"/>
        <v>10000</v>
      </c>
      <c r="J56" s="13">
        <v>40000</v>
      </c>
      <c r="K56" s="34">
        <f t="shared" si="14"/>
        <v>0.44261875000000001</v>
      </c>
      <c r="L56" s="1"/>
      <c r="M56" s="2"/>
      <c r="N56" s="2"/>
      <c r="O56" s="2"/>
      <c r="P56" s="2"/>
      <c r="Q56" s="2"/>
      <c r="R56" s="2"/>
      <c r="S56" s="2"/>
      <c r="T56" s="2"/>
    </row>
    <row r="57" spans="1:20" x14ac:dyDescent="0.2">
      <c r="A57" s="11" t="s">
        <v>39</v>
      </c>
      <c r="B57" s="13">
        <v>0</v>
      </c>
      <c r="C57" s="13">
        <v>0</v>
      </c>
      <c r="D57" s="13">
        <v>0</v>
      </c>
      <c r="E57" s="13">
        <v>0</v>
      </c>
      <c r="F57" s="14">
        <f t="shared" si="11"/>
        <v>0</v>
      </c>
      <c r="G57" s="14">
        <f t="shared" si="15"/>
        <v>625</v>
      </c>
      <c r="H57" s="13">
        <v>270.27999999999997</v>
      </c>
      <c r="I57" s="14">
        <f t="shared" si="13"/>
        <v>1875</v>
      </c>
      <c r="J57" s="13">
        <v>7500</v>
      </c>
      <c r="K57" s="34">
        <f t="shared" si="14"/>
        <v>3.6037333333333331E-2</v>
      </c>
      <c r="L57" s="1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11" t="s">
        <v>40</v>
      </c>
      <c r="B58" s="13">
        <v>485.14</v>
      </c>
      <c r="C58" s="13">
        <v>326.35000000000002</v>
      </c>
      <c r="D58" s="13">
        <v>0</v>
      </c>
      <c r="E58" s="13">
        <v>0</v>
      </c>
      <c r="F58" s="14">
        <f t="shared" si="11"/>
        <v>811.49</v>
      </c>
      <c r="G58" s="14">
        <f t="shared" si="15"/>
        <v>875</v>
      </c>
      <c r="H58" s="13">
        <v>2005.99</v>
      </c>
      <c r="I58" s="14">
        <f t="shared" si="13"/>
        <v>2625</v>
      </c>
      <c r="J58" s="13">
        <v>10500</v>
      </c>
      <c r="K58" s="34">
        <f t="shared" si="14"/>
        <v>0.19104666666666667</v>
      </c>
      <c r="L58" s="1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11" t="s">
        <v>41</v>
      </c>
      <c r="B59" s="13">
        <v>8470.98</v>
      </c>
      <c r="C59" s="13">
        <v>425.66</v>
      </c>
      <c r="D59" s="13">
        <v>44.82</v>
      </c>
      <c r="E59" s="13">
        <v>0</v>
      </c>
      <c r="F59" s="14">
        <f t="shared" si="11"/>
        <v>8941.4599999999991</v>
      </c>
      <c r="G59" s="14">
        <f t="shared" si="15"/>
        <v>2500</v>
      </c>
      <c r="H59" s="13">
        <v>18124.23</v>
      </c>
      <c r="I59" s="14">
        <f t="shared" si="13"/>
        <v>7500</v>
      </c>
      <c r="J59" s="13">
        <v>30000</v>
      </c>
      <c r="K59" s="34">
        <f t="shared" si="14"/>
        <v>0.60414100000000004</v>
      </c>
      <c r="L59" s="1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11" t="s">
        <v>42</v>
      </c>
      <c r="B60" s="13">
        <v>0</v>
      </c>
      <c r="C60" s="13">
        <v>0</v>
      </c>
      <c r="D60" s="13">
        <v>0</v>
      </c>
      <c r="E60" s="13">
        <v>13173.27</v>
      </c>
      <c r="F60" s="14">
        <f t="shared" si="11"/>
        <v>13173.27</v>
      </c>
      <c r="G60" s="14">
        <f t="shared" si="15"/>
        <v>13333.333333333334</v>
      </c>
      <c r="H60" s="13">
        <v>17236.77</v>
      </c>
      <c r="I60" s="14">
        <f t="shared" si="13"/>
        <v>40000</v>
      </c>
      <c r="J60" s="13">
        <v>160000</v>
      </c>
      <c r="K60" s="34">
        <f t="shared" si="14"/>
        <v>0.10772981250000001</v>
      </c>
      <c r="L60" s="1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11" t="s">
        <v>43</v>
      </c>
      <c r="B61" s="13">
        <v>0</v>
      </c>
      <c r="C61" s="13">
        <v>3699.47</v>
      </c>
      <c r="D61" s="13">
        <v>0</v>
      </c>
      <c r="E61" s="13">
        <v>3699.47</v>
      </c>
      <c r="F61" s="14">
        <f t="shared" si="11"/>
        <v>7398.94</v>
      </c>
      <c r="G61" s="14">
        <f t="shared" si="15"/>
        <v>3333.3333333333335</v>
      </c>
      <c r="H61" s="13">
        <v>12910.39</v>
      </c>
      <c r="I61" s="14">
        <f t="shared" si="13"/>
        <v>10000</v>
      </c>
      <c r="J61" s="13">
        <v>40000</v>
      </c>
      <c r="K61" s="34">
        <f t="shared" si="14"/>
        <v>0.32275975000000001</v>
      </c>
      <c r="L61" s="1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11" t="s">
        <v>44</v>
      </c>
      <c r="B62" s="13">
        <v>0</v>
      </c>
      <c r="C62" s="13">
        <v>0</v>
      </c>
      <c r="D62" s="13">
        <v>0</v>
      </c>
      <c r="E62" s="13">
        <v>0</v>
      </c>
      <c r="F62" s="14">
        <f t="shared" si="11"/>
        <v>0</v>
      </c>
      <c r="G62" s="14">
        <f t="shared" si="15"/>
        <v>1583.3333333333333</v>
      </c>
      <c r="H62" s="13">
        <v>22802</v>
      </c>
      <c r="I62" s="14">
        <f t="shared" si="13"/>
        <v>4750</v>
      </c>
      <c r="J62" s="13">
        <v>19000</v>
      </c>
      <c r="K62" s="34">
        <f t="shared" si="14"/>
        <v>1.2001052631578948</v>
      </c>
      <c r="L62" s="1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11" t="s">
        <v>45</v>
      </c>
      <c r="B63" s="13">
        <v>0</v>
      </c>
      <c r="C63" s="13">
        <v>4458.04</v>
      </c>
      <c r="D63" s="13">
        <v>0</v>
      </c>
      <c r="E63" s="13">
        <v>0</v>
      </c>
      <c r="F63" s="14">
        <f t="shared" si="11"/>
        <v>4458.04</v>
      </c>
      <c r="G63" s="14">
        <f t="shared" si="15"/>
        <v>1416.6666666666667</v>
      </c>
      <c r="H63" s="13">
        <v>7910.06</v>
      </c>
      <c r="I63" s="14">
        <f t="shared" si="13"/>
        <v>4250</v>
      </c>
      <c r="J63" s="13">
        <v>17000</v>
      </c>
      <c r="K63" s="34">
        <f t="shared" si="14"/>
        <v>0.46529764705882354</v>
      </c>
      <c r="L63" s="1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11" t="s">
        <v>46</v>
      </c>
      <c r="B64" s="13">
        <v>7826.05</v>
      </c>
      <c r="C64" s="13">
        <v>0</v>
      </c>
      <c r="D64" s="13">
        <v>0</v>
      </c>
      <c r="E64" s="13">
        <v>0</v>
      </c>
      <c r="F64" s="14">
        <f t="shared" si="11"/>
        <v>7826.05</v>
      </c>
      <c r="G64" s="14">
        <f t="shared" si="15"/>
        <v>1666.6666666666667</v>
      </c>
      <c r="H64" s="13">
        <f t="shared" ref="H64:H72" si="16">F64</f>
        <v>7826.05</v>
      </c>
      <c r="I64" s="14">
        <f t="shared" si="13"/>
        <v>5000</v>
      </c>
      <c r="J64" s="13">
        <v>20000</v>
      </c>
      <c r="K64" s="34">
        <f t="shared" si="14"/>
        <v>0.3913025</v>
      </c>
      <c r="L64" s="1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11" t="s">
        <v>47</v>
      </c>
      <c r="B65" s="13">
        <v>11700.99</v>
      </c>
      <c r="C65" s="13">
        <v>0</v>
      </c>
      <c r="D65" s="13">
        <v>0</v>
      </c>
      <c r="E65" s="13">
        <v>0</v>
      </c>
      <c r="F65" s="14">
        <f t="shared" si="11"/>
        <v>11700.99</v>
      </c>
      <c r="G65" s="14">
        <f t="shared" si="15"/>
        <v>12541.666666666666</v>
      </c>
      <c r="H65" s="13">
        <v>34481.74</v>
      </c>
      <c r="I65" s="14">
        <f t="shared" si="13"/>
        <v>37625</v>
      </c>
      <c r="J65" s="13">
        <v>150500</v>
      </c>
      <c r="K65" s="34">
        <f t="shared" si="14"/>
        <v>0.22911455149501661</v>
      </c>
      <c r="L65" s="1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11" t="s">
        <v>48</v>
      </c>
      <c r="B66" s="13">
        <v>0</v>
      </c>
      <c r="C66" s="13">
        <v>0</v>
      </c>
      <c r="D66" s="13">
        <v>0</v>
      </c>
      <c r="E66" s="13">
        <v>0</v>
      </c>
      <c r="F66" s="14">
        <f t="shared" si="11"/>
        <v>0</v>
      </c>
      <c r="G66" s="14">
        <f t="shared" si="15"/>
        <v>83.333333333333329</v>
      </c>
      <c r="H66" s="13">
        <f t="shared" si="16"/>
        <v>0</v>
      </c>
      <c r="I66" s="14">
        <f t="shared" si="13"/>
        <v>250</v>
      </c>
      <c r="J66" s="13">
        <v>1000</v>
      </c>
      <c r="K66" s="34">
        <f t="shared" si="14"/>
        <v>0</v>
      </c>
      <c r="L66" s="1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11" t="s">
        <v>49</v>
      </c>
      <c r="B67" s="13">
        <v>0</v>
      </c>
      <c r="C67" s="13">
        <v>0</v>
      </c>
      <c r="D67" s="13">
        <v>0</v>
      </c>
      <c r="E67" s="13">
        <v>0</v>
      </c>
      <c r="F67" s="14">
        <f t="shared" si="11"/>
        <v>0</v>
      </c>
      <c r="G67" s="14">
        <f t="shared" si="15"/>
        <v>208.33333333333334</v>
      </c>
      <c r="H67" s="13">
        <v>342.75</v>
      </c>
      <c r="I67" s="14">
        <f t="shared" si="13"/>
        <v>625</v>
      </c>
      <c r="J67" s="13">
        <v>2500</v>
      </c>
      <c r="K67" s="34">
        <f t="shared" si="14"/>
        <v>0.1371</v>
      </c>
      <c r="L67" s="1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11" t="s">
        <v>50</v>
      </c>
      <c r="B68" s="13">
        <v>7600</v>
      </c>
      <c r="C68" s="13">
        <v>0</v>
      </c>
      <c r="D68" s="13">
        <v>0</v>
      </c>
      <c r="E68" s="13">
        <v>0</v>
      </c>
      <c r="F68" s="14">
        <f t="shared" si="11"/>
        <v>7600</v>
      </c>
      <c r="G68" s="14">
        <f t="shared" si="15"/>
        <v>2500</v>
      </c>
      <c r="H68" s="13">
        <v>11837.5</v>
      </c>
      <c r="I68" s="14">
        <f t="shared" si="13"/>
        <v>7500</v>
      </c>
      <c r="J68" s="13">
        <v>30000</v>
      </c>
      <c r="K68" s="34">
        <f t="shared" si="14"/>
        <v>0.39458333333333334</v>
      </c>
      <c r="L68" s="1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11" t="s">
        <v>52</v>
      </c>
      <c r="B69" s="13">
        <v>0</v>
      </c>
      <c r="C69" s="13">
        <v>3882.96</v>
      </c>
      <c r="D69" s="13">
        <v>0</v>
      </c>
      <c r="E69" s="13">
        <v>0</v>
      </c>
      <c r="F69" s="14">
        <f t="shared" si="11"/>
        <v>3882.96</v>
      </c>
      <c r="G69" s="14">
        <f t="shared" si="15"/>
        <v>4000</v>
      </c>
      <c r="H69" s="13">
        <v>11081.23</v>
      </c>
      <c r="I69" s="14">
        <f t="shared" si="13"/>
        <v>12000</v>
      </c>
      <c r="J69" s="13">
        <v>48000</v>
      </c>
      <c r="K69" s="34">
        <f t="shared" si="14"/>
        <v>0.23085895833333334</v>
      </c>
      <c r="L69" s="1"/>
      <c r="M69" s="2"/>
      <c r="N69" s="2"/>
      <c r="O69" s="2"/>
      <c r="P69" s="3"/>
      <c r="R69" s="3"/>
    </row>
    <row r="70" spans="1:20" x14ac:dyDescent="0.2">
      <c r="A70" s="11" t="s">
        <v>53</v>
      </c>
      <c r="B70" s="13">
        <v>0</v>
      </c>
      <c r="C70" s="13">
        <v>1662.22</v>
      </c>
      <c r="D70" s="13">
        <v>0</v>
      </c>
      <c r="E70" s="13">
        <v>0</v>
      </c>
      <c r="F70" s="14">
        <f t="shared" si="11"/>
        <v>1662.22</v>
      </c>
      <c r="G70" s="14">
        <f t="shared" si="15"/>
        <v>833.33333333333337</v>
      </c>
      <c r="H70" s="13">
        <v>2755.45</v>
      </c>
      <c r="I70" s="14">
        <f t="shared" si="13"/>
        <v>2500</v>
      </c>
      <c r="J70" s="13">
        <v>10000</v>
      </c>
      <c r="K70" s="34">
        <f t="shared" si="14"/>
        <v>0.27554499999999998</v>
      </c>
    </row>
    <row r="71" spans="1:20" x14ac:dyDescent="0.2">
      <c r="A71" s="11" t="s">
        <v>54</v>
      </c>
      <c r="B71" s="13">
        <v>0</v>
      </c>
      <c r="C71" s="13">
        <v>0</v>
      </c>
      <c r="D71" s="13">
        <v>0</v>
      </c>
      <c r="E71" s="13">
        <v>0</v>
      </c>
      <c r="F71" s="14">
        <f t="shared" si="11"/>
        <v>0</v>
      </c>
      <c r="G71" s="14">
        <f t="shared" si="15"/>
        <v>4.166666666666667</v>
      </c>
      <c r="H71" s="13">
        <f t="shared" si="16"/>
        <v>0</v>
      </c>
      <c r="I71" s="14">
        <f t="shared" si="13"/>
        <v>12.5</v>
      </c>
      <c r="J71" s="13">
        <v>50</v>
      </c>
      <c r="K71" s="34">
        <f t="shared" si="14"/>
        <v>0</v>
      </c>
    </row>
    <row r="72" spans="1:20" x14ac:dyDescent="0.2">
      <c r="A72" s="11" t="s">
        <v>72</v>
      </c>
      <c r="B72" s="13">
        <v>0</v>
      </c>
      <c r="C72" s="13">
        <v>0</v>
      </c>
      <c r="D72" s="13">
        <v>0</v>
      </c>
      <c r="E72" s="13">
        <v>0</v>
      </c>
      <c r="F72" s="14">
        <f t="shared" si="11"/>
        <v>0</v>
      </c>
      <c r="G72" s="14">
        <f t="shared" si="15"/>
        <v>1666.6666666666667</v>
      </c>
      <c r="H72" s="13">
        <f t="shared" si="16"/>
        <v>0</v>
      </c>
      <c r="I72" s="14">
        <f t="shared" si="13"/>
        <v>5000</v>
      </c>
      <c r="J72" s="13">
        <v>20000</v>
      </c>
      <c r="K72" s="33">
        <f t="shared" si="14"/>
        <v>0</v>
      </c>
    </row>
    <row r="73" spans="1:20" x14ac:dyDescent="0.2">
      <c r="A73" s="11" t="s">
        <v>55</v>
      </c>
      <c r="B73" s="35">
        <f t="shared" ref="B73:I73" si="17">SUM(B26:B72)</f>
        <v>91084.459999999992</v>
      </c>
      <c r="C73" s="35">
        <f t="shared" si="17"/>
        <v>163556.29</v>
      </c>
      <c r="D73" s="36">
        <f t="shared" si="17"/>
        <v>131224.22</v>
      </c>
      <c r="E73" s="36">
        <f t="shared" si="17"/>
        <v>35422.57</v>
      </c>
      <c r="F73" s="35">
        <f t="shared" si="17"/>
        <v>421287.54</v>
      </c>
      <c r="G73" s="35">
        <f t="shared" si="17"/>
        <v>363791.66666666663</v>
      </c>
      <c r="H73" s="36">
        <f t="shared" si="17"/>
        <v>1248595.8800000001</v>
      </c>
      <c r="I73" s="35">
        <f t="shared" si="17"/>
        <v>1091375</v>
      </c>
      <c r="J73" s="36">
        <f>SUM(J46:J72)+SUM(J26:J38)</f>
        <v>4365500</v>
      </c>
      <c r="K73" s="37">
        <f t="shared" si="14"/>
        <v>0.28601440384835647</v>
      </c>
    </row>
    <row r="74" spans="1:20" x14ac:dyDescent="0.2">
      <c r="B74" s="14"/>
      <c r="C74" s="14" t="s">
        <v>69</v>
      </c>
      <c r="D74" s="13"/>
      <c r="E74" s="13"/>
      <c r="F74" s="14"/>
      <c r="G74" s="14"/>
      <c r="H74" s="13"/>
      <c r="I74" s="14"/>
      <c r="J74" s="13"/>
    </row>
    <row r="75" spans="1:20" ht="13.5" thickBot="1" x14ac:dyDescent="0.25">
      <c r="A75" s="11" t="s">
        <v>56</v>
      </c>
      <c r="B75" s="38">
        <f t="shared" ref="B75:H75" si="18">B21-B73</f>
        <v>-91084.459999999992</v>
      </c>
      <c r="C75" s="38">
        <f t="shared" si="18"/>
        <v>-2306.2099999999919</v>
      </c>
      <c r="D75" s="39">
        <f t="shared" si="18"/>
        <v>29055.52999999997</v>
      </c>
      <c r="E75" s="39">
        <f t="shared" si="18"/>
        <v>-4452.6399999999994</v>
      </c>
      <c r="F75" s="38">
        <f t="shared" si="18"/>
        <v>-68787.780000000028</v>
      </c>
      <c r="G75" s="38">
        <f t="shared" si="18"/>
        <v>0</v>
      </c>
      <c r="H75" s="39">
        <f t="shared" si="18"/>
        <v>-133091.05000000005</v>
      </c>
      <c r="I75" s="10"/>
      <c r="J75" s="12"/>
    </row>
    <row r="76" spans="1:20" ht="13.5" thickTop="1" x14ac:dyDescent="0.2"/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</vt:i4>
      </vt:variant>
    </vt:vector>
  </HeadingPairs>
  <TitlesOfParts>
    <vt:vector size="28" baseType="lpstr">
      <vt:lpstr>2011-12</vt:lpstr>
      <vt:lpstr>2014</vt:lpstr>
      <vt:lpstr>September 2015</vt:lpstr>
      <vt:lpstr>October 2017</vt:lpstr>
      <vt:lpstr>October with BFS</vt:lpstr>
      <vt:lpstr>November 2017</vt:lpstr>
      <vt:lpstr>November with BFS</vt:lpstr>
      <vt:lpstr>December 2017</vt:lpstr>
      <vt:lpstr>December with BFS</vt:lpstr>
      <vt:lpstr>January 2018</vt:lpstr>
      <vt:lpstr>January with BFS</vt:lpstr>
      <vt:lpstr>February 2018</vt:lpstr>
      <vt:lpstr>February with BFS</vt:lpstr>
      <vt:lpstr>March 2018</vt:lpstr>
      <vt:lpstr>March 2018 with BFS</vt:lpstr>
      <vt:lpstr>April 2018</vt:lpstr>
      <vt:lpstr>April 2018 BFS</vt:lpstr>
      <vt:lpstr>May 2018</vt:lpstr>
      <vt:lpstr>June 2018</vt:lpstr>
      <vt:lpstr>July 2018</vt:lpstr>
      <vt:lpstr>August 2018</vt:lpstr>
      <vt:lpstr>September 2018</vt:lpstr>
      <vt:lpstr>CPC Revenue</vt:lpstr>
      <vt:lpstr>'2011-12'!Print_Area</vt:lpstr>
      <vt:lpstr>'August 2018'!Print_Area</vt:lpstr>
      <vt:lpstr>'January 2018'!Print_Area</vt:lpstr>
      <vt:lpstr>'July 2018'!Print_Area</vt:lpstr>
      <vt:lpstr>'May 2018'!Print_Area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chrish</dc:creator>
  <cp:lastModifiedBy>Mel Parker</cp:lastModifiedBy>
  <cp:lastPrinted>2018-11-05T20:26:28Z</cp:lastPrinted>
  <dcterms:created xsi:type="dcterms:W3CDTF">2009-11-03T16:07:01Z</dcterms:created>
  <dcterms:modified xsi:type="dcterms:W3CDTF">2018-11-05T20:27:30Z</dcterms:modified>
</cp:coreProperties>
</file>